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FUNCIONAMIENTO " sheetId="1" r:id="rId1"/>
    <sheet name="Hoja1" sheetId="2" state="hidden" r:id="rId2"/>
    <sheet name="Hoja2" sheetId="3" state="hidden" r:id="rId3"/>
    <sheet name="INVERSION" sheetId="4" r:id="rId4"/>
    <sheet name="Hoja3" sheetId="5" state="hidden" r:id="rId5"/>
  </sheets>
  <externalReferences>
    <externalReference r:id="rId8"/>
    <externalReference r:id="rId9"/>
  </externalReferences>
  <definedNames>
    <definedName name="_xlnm.Print_Area" localSheetId="3">'INVERSION'!$A$1:$J$21</definedName>
  </definedNames>
  <calcPr fullCalcOnLoad="1"/>
</workbook>
</file>

<file path=xl/sharedStrings.xml><?xml version="1.0" encoding="utf-8"?>
<sst xmlns="http://schemas.openxmlformats.org/spreadsheetml/2006/main" count="451" uniqueCount="172">
  <si>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</si>
  <si>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</si>
  <si>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</si>
  <si>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</si>
  <si>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</si>
  <si>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</si>
  <si>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PROG</t>
  </si>
  <si>
    <t>GAS</t>
  </si>
  <si>
    <t>Y/O</t>
  </si>
  <si>
    <t>CONCEPTO</t>
  </si>
  <si>
    <t>PRESUPUESTALES</t>
  </si>
  <si>
    <t>PRY</t>
  </si>
  <si>
    <t>A</t>
  </si>
  <si>
    <t>Gastos de personal</t>
  </si>
  <si>
    <t>servicios personales asociados a nomina</t>
  </si>
  <si>
    <t>sueldos personal de nomina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</si>
  <si>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</si>
  <si>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</si>
  <si>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</si>
  <si>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</si>
  <si>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</si>
  <si>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</si>
  <si>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</si>
  <si>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</si>
  <si>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</si>
  <si>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</si>
  <si>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</si>
  <si>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</si>
  <si>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</si>
  <si>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</si>
  <si>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</si>
  <si>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</si>
  <si>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</si>
  <si>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</si>
  <si>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</si>
  <si>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COMPROMISOS</t>
  </si>
  <si>
    <t>SALDO</t>
  </si>
  <si>
    <t>ICBF</t>
  </si>
  <si>
    <t>SENA</t>
  </si>
  <si>
    <t>sueldos personal de nomina vacaciones</t>
  </si>
  <si>
    <t xml:space="preserve">POR EJECUTAR </t>
  </si>
  <si>
    <t>01</t>
  </si>
  <si>
    <t>02</t>
  </si>
  <si>
    <t>03</t>
  </si>
  <si>
    <t>04</t>
  </si>
  <si>
    <t>05</t>
  </si>
  <si>
    <t>06</t>
  </si>
  <si>
    <t>% DE EJECUCION</t>
  </si>
  <si>
    <t>T</t>
  </si>
  <si>
    <t xml:space="preserve">CTA </t>
  </si>
  <si>
    <t>SCTA</t>
  </si>
  <si>
    <t>OBJ</t>
  </si>
  <si>
    <t>ORD</t>
  </si>
  <si>
    <t>GASTOS DE FUNCIONAMIENTO</t>
  </si>
  <si>
    <t>horas extras y dias festivos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</si>
  <si>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</si>
  <si>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</si>
  <si>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</si>
  <si>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</si>
  <si>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</si>
  <si>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</si>
  <si>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</si>
  <si>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</si>
  <si>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</si>
  <si>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</si>
  <si>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</si>
  <si>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</si>
  <si>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</si>
  <si>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Aprovechamiento Sostenible de la biodiversidad y mercados verdes</t>
  </si>
  <si>
    <t>TOTAL</t>
  </si>
  <si>
    <t>PRESUPUESTO INICIAL</t>
  </si>
  <si>
    <t>PRESUPUESTO DEFINITIVO</t>
  </si>
  <si>
    <t>CDPS EXPEDIDOS</t>
  </si>
  <si>
    <t>% EJECUCION CDPS</t>
  </si>
  <si>
    <t>% DE EJEUCION</t>
  </si>
  <si>
    <t>Implementacion de procesos de restauracion pasiva</t>
  </si>
  <si>
    <t>CDPS</t>
  </si>
  <si>
    <t xml:space="preserve">% EJEUCION </t>
  </si>
  <si>
    <t xml:space="preserve">RECURSOS PROPIOS </t>
  </si>
  <si>
    <t>SALDO  POR</t>
  </si>
  <si>
    <t>EJECUTAR</t>
  </si>
  <si>
    <t xml:space="preserve">RECURSOS NACION </t>
  </si>
  <si>
    <t>Horas extras</t>
  </si>
  <si>
    <t>SALDO DE APROPIACION</t>
  </si>
  <si>
    <t>SALDO  DE</t>
  </si>
  <si>
    <t>APROPIACION</t>
  </si>
  <si>
    <t>PAGOS</t>
  </si>
  <si>
    <t>1,1 Ordenamiento y Admon RH y Cuencas Hidrograficas</t>
  </si>
  <si>
    <t>1,2 Recuperacion de Cuencas Hidrograficas</t>
  </si>
  <si>
    <t>1,3 descontaminacion de Fuentes Hidricas</t>
  </si>
  <si>
    <t>2,1 Conocimiento y Planificacion de Ecosistemas Estrategicos</t>
  </si>
  <si>
    <t>2,2 Conservacion y Recuperacion de Ecosistemas Estrategicos y su Biodiversidad</t>
  </si>
  <si>
    <t>3,1 Crecimiento Verde de Sectores Productivos</t>
  </si>
  <si>
    <t>3,2 Areas  Urbanas Sostenibles y Resilientes</t>
  </si>
  <si>
    <t>4,1 Control y vigilancia Ambiental</t>
  </si>
  <si>
    <t>5,1 Planificacion Ambiental Territorial</t>
  </si>
  <si>
    <t>6,1 CAM Modelo de Gestion Corporativa</t>
  </si>
  <si>
    <t>NUEVO PLAN DE ACCION</t>
  </si>
  <si>
    <t>6,2 Educacion Ambiental Opita de Corazon</t>
  </si>
  <si>
    <t>5,2 Gestion del Riesgo de Desastres</t>
  </si>
  <si>
    <t>TOTAL NUEVO PLAN ACCION</t>
  </si>
  <si>
    <t>TOTAL PLAN ACCION VIEJO</t>
  </si>
  <si>
    <t>SALDO DE  APROPIACION</t>
  </si>
  <si>
    <t>OTROS</t>
  </si>
  <si>
    <t>BONIFICACION SERVICIOS PRESTADOS</t>
  </si>
  <si>
    <t>BONIFICACION ESPECIAL POR RECREACION</t>
  </si>
  <si>
    <t>SUBSIDIO DE ALIMENTACION</t>
  </si>
  <si>
    <t>SUBSIDIO DE TRANSPORTE</t>
  </si>
  <si>
    <t>PRIMA DE SERVICIOS</t>
  </si>
  <si>
    <t>PRIMA DE VACACIONES</t>
  </si>
  <si>
    <t>PRIMA DE NAVIDAD</t>
  </si>
  <si>
    <t>BONIFICACION POR COORDINACION</t>
  </si>
  <si>
    <t>SERVICIOS PERSONALES INDIRECTOS</t>
  </si>
  <si>
    <t>GASTOS PERSONAL SUPERNUMERARIO</t>
  </si>
  <si>
    <t>HONORARIOS</t>
  </si>
  <si>
    <t>REMUNERACION SERVICIOS TECNICOS</t>
  </si>
  <si>
    <t>ADQUISICION DE BIENES</t>
  </si>
  <si>
    <t>COMPRA DE EQUIPO</t>
  </si>
  <si>
    <t>MATERIALES Y SUMINISTROS</t>
  </si>
  <si>
    <t>ADQUISICION DE SERVICIOS</t>
  </si>
  <si>
    <t>GASTOS GENERALES</t>
  </si>
  <si>
    <t>MANTENIMIENTO</t>
  </si>
  <si>
    <t>COMUNICACIONES Y TRANSPORTE</t>
  </si>
  <si>
    <t>IMPRESOS Y PUBLICACIONES</t>
  </si>
  <si>
    <t>SERVICIOS PUBLICOS</t>
  </si>
  <si>
    <t>SEGUROS</t>
  </si>
  <si>
    <t>ARRENDAMIENTOS</t>
  </si>
  <si>
    <t>VIATICOS Y GASTOS DE VIAJES</t>
  </si>
  <si>
    <t>IMPREVISTOS</t>
  </si>
  <si>
    <t>BIENESTAR SOCIAL Y CAPACITACION</t>
  </si>
  <si>
    <t>IMPUESTOS MULTAS Y TASAS</t>
  </si>
  <si>
    <t>RP</t>
  </si>
  <si>
    <t>Nacion</t>
  </si>
  <si>
    <t>APOPIACION INICIAL</t>
  </si>
  <si>
    <t>CONTRACREDITO</t>
  </si>
  <si>
    <t>ADICIONES</t>
  </si>
  <si>
    <t>CREDITOS</t>
  </si>
  <si>
    <t>23-01-01-03-07</t>
  </si>
  <si>
    <t>CUENCAS</t>
  </si>
  <si>
    <t>APOPIACION  INICIAL</t>
  </si>
  <si>
    <t>CONTRACREDITOS</t>
  </si>
  <si>
    <t>23-01-01-03-09</t>
  </si>
  <si>
    <t>REFORESTACION</t>
  </si>
  <si>
    <t>23-01-01-01-03-11</t>
  </si>
  <si>
    <t>SANEAMIENTO</t>
  </si>
  <si>
    <t>23-01-02-03</t>
  </si>
  <si>
    <t>FORTALECIMIENTO</t>
  </si>
  <si>
    <t>23-03-01-03</t>
  </si>
  <si>
    <t>EDUCACION AMNIENTAL</t>
  </si>
  <si>
    <t>23-04-03-02</t>
  </si>
  <si>
    <t>ASESORIAS</t>
  </si>
  <si>
    <t>23-02-01-01-98</t>
  </si>
  <si>
    <t>TOTALES</t>
  </si>
  <si>
    <t>EJECUCION</t>
  </si>
  <si>
    <t>01-01-900-01 Ordenamiento y Admon RH y Cuencas Hidrograficas</t>
  </si>
  <si>
    <t>01-01-900-02 Recuperacion de Cuencas Hidrograficas</t>
  </si>
  <si>
    <t>01-01-900-03 descontaminacion de Fuentes Hidricas</t>
  </si>
  <si>
    <t>02-02-900-01 Conocimiento y Planificacion de Ecosistemas Estrategicos</t>
  </si>
  <si>
    <t>02-02-900-02 Conservacion y Recuperacion de Ecosistemas Estrategicos y su Biodiversidad</t>
  </si>
  <si>
    <t>03-03-900-01 Crecimiento Verde de Sectores Productivos</t>
  </si>
  <si>
    <t>03-03-900-02 Areas  Urbanas Sostenibles y Resilientes</t>
  </si>
  <si>
    <t>04-04-900-01 Control y vigilancia Ambiental</t>
  </si>
  <si>
    <t>05-05-900-01 Planificacion Ambiental Territorial</t>
  </si>
  <si>
    <t>05-05-900-02 Gestion d eRiesgo de Desastres</t>
  </si>
  <si>
    <t>06-06-900-01 Modelo de Gestion Corporativa</t>
  </si>
  <si>
    <t>06-06-900-02 Educacion Ambiental Opirta de Corazon</t>
  </si>
  <si>
    <t>03-03-900-01 Crecimiento Verde de Sectores Productivos vigencias expiradas</t>
  </si>
  <si>
    <t>Implementacion de medidas de mitigacion para promover un desarrollo y ordenamiento resiliente al cliam sobre carbono em arco de la politica nacional del cambio climatico  en 23 municipios del departamento del huila</t>
  </si>
  <si>
    <t>EJECUCION PRESUPUESTAL A DICIEMBRE DE 2018</t>
  </si>
  <si>
    <t>EJECUCION PRESUPUESTAL GASTOS DE INVERSION RECURSOS PROPIOS A DICIEMBRE DE 2018</t>
  </si>
  <si>
    <t>EJECUCION PRESUPUESTAL GASTOS DE INVERSION RECURSOS NACION  A DICIEMBRE 2018</t>
  </si>
  <si>
    <t>Horas Extras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</si>
</sst>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;[Red]0.00"/>
    <numFmt numFmtId="189" formatCode="#,##0.00;[Red]#,##0.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00"/>
    <numFmt numFmtId="196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6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wrapText="1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wrapText="1"/>
      <protection locked="0"/>
    </xf>
    <xf numFmtId="0" fontId="0" fillId="0" borderId="15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3" fillId="0" borderId="16" xfId="0" applyNumberFormat="1" applyFont="1" applyFill="1" applyBorder="1" applyAlignment="1" applyProtection="1">
      <alignment wrapText="1"/>
      <protection locked="0"/>
    </xf>
    <xf numFmtId="3" fontId="0" fillId="0" borderId="16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>
      <alignment wrapText="1"/>
      <protection locked="0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4" fontId="0" fillId="0" borderId="18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3" fontId="46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Fill="1" applyAlignment="1">
      <alignment/>
    </xf>
    <xf numFmtId="196" fontId="0" fillId="0" borderId="10" xfId="49" applyNumberFormat="1" applyFont="1" applyFill="1" applyBorder="1" applyAlignment="1">
      <alignment horizontal="center" vertical="center"/>
    </xf>
    <xf numFmtId="190" fontId="45" fillId="0" borderId="10" xfId="55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justify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4" fontId="0" fillId="34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wrapText="1"/>
      <protection locked="0"/>
    </xf>
    <xf numFmtId="3" fontId="27" fillId="0" borderId="10" xfId="49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4" fontId="0" fillId="0" borderId="12" xfId="0" applyNumberFormat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4" fontId="0" fillId="0" borderId="25" xfId="0" applyNumberForma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/>
    </xf>
    <xf numFmtId="4" fontId="0" fillId="0" borderId="28" xfId="0" applyNumberFormat="1" applyFill="1" applyBorder="1" applyAlignment="1">
      <alignment horizontal="center" vertical="center"/>
    </xf>
    <xf numFmtId="190" fontId="27" fillId="0" borderId="29" xfId="55" applyNumberFormat="1" applyFont="1" applyBorder="1" applyAlignment="1">
      <alignment vertical="center"/>
    </xf>
    <xf numFmtId="3" fontId="1" fillId="0" borderId="18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4\EJECUCIONES\POAI%202014%20DEFINITIVO%2029%20DE%20ENERO%202014ATRABAJAR%20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6\ejeuciones\DIRECTOR\ANASIS%20DIRECTIVO%20CAM%20a%20ABRIL1%20consolidado%20SRCA-SGA-OPL%20%20ajust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C"/>
      <sheetName val="01-0900-01"/>
      <sheetName val="01-0900-02"/>
      <sheetName val="01-0900-03"/>
      <sheetName val="02-0900-01"/>
      <sheetName val="02-0900-02"/>
      <sheetName val="02-0900-03"/>
      <sheetName val="02-0900-04"/>
      <sheetName val="03-0900-01"/>
      <sheetName val="03-0900-02"/>
      <sheetName val="04-0900-01"/>
      <sheetName val="04-0900-02"/>
      <sheetName val="05-0900-01"/>
      <sheetName val="06-0900-01"/>
      <sheetName val="06-0900-02"/>
      <sheetName val="013-000-2-906-1"/>
      <sheetName val="RESUMEN"/>
      <sheetName val="Hoja3"/>
    </sheetNames>
    <sheetDataSet>
      <sheetData sheetId="15">
        <row r="49">
          <cell r="E49">
            <v>1900000000</v>
          </cell>
        </row>
        <row r="50">
          <cell r="E50">
            <v>254251332</v>
          </cell>
        </row>
        <row r="55">
          <cell r="E55">
            <v>1475328300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ervas 2015"/>
      <sheetName val="Gastos 2016"/>
      <sheetName val="INGRESOS A "/>
      <sheetName val="T-CAM 123 "/>
      <sheetName val="T-CAM 123  (2)"/>
    </sheetNames>
    <sheetDataSet>
      <sheetData sheetId="1">
        <row r="16">
          <cell r="B16">
            <v>250000000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7"/>
  <sheetViews>
    <sheetView tabSelected="1" zoomScalePageLayoutView="0" workbookViewId="0" topLeftCell="A1">
      <selection activeCell="I35" sqref="I35:T35"/>
    </sheetView>
  </sheetViews>
  <sheetFormatPr defaultColWidth="11.421875" defaultRowHeight="12.75"/>
  <cols>
    <col min="1" max="1" width="3.00390625" style="0" customWidth="1"/>
    <col min="2" max="2" width="6.421875" style="0" customWidth="1"/>
    <col min="3" max="3" width="4.421875" style="0" customWidth="1"/>
    <col min="4" max="4" width="4.8515625" style="0" customWidth="1"/>
    <col min="5" max="5" width="3.28125" style="0" customWidth="1"/>
    <col min="6" max="6" width="42.140625" style="0" customWidth="1"/>
    <col min="7" max="7" width="19.57421875" style="0" customWidth="1"/>
    <col min="8" max="8" width="19.00390625" style="59" customWidth="1"/>
    <col min="9" max="9" width="19.7109375" style="158" customWidth="1"/>
    <col min="10" max="13" width="17.7109375" style="0" hidden="1" customWidth="1"/>
    <col min="14" max="14" width="19.8515625" style="0" hidden="1" customWidth="1"/>
    <col min="15" max="15" width="18.00390625" style="0" hidden="1" customWidth="1"/>
    <col min="16" max="16" width="13.7109375" style="0" hidden="1" customWidth="1"/>
    <col min="17" max="17" width="12.7109375" style="0" hidden="1" customWidth="1"/>
    <col min="18" max="19" width="15.140625" style="0" hidden="1" customWidth="1"/>
    <col min="20" max="20" width="16.00390625" style="0" customWidth="1"/>
    <col min="21" max="21" width="16.00390625" style="0" hidden="1" customWidth="1"/>
    <col min="22" max="22" width="18.8515625" style="0" customWidth="1"/>
    <col min="23" max="23" width="0" style="0" hidden="1" customWidth="1"/>
    <col min="24" max="24" width="18.57421875" style="0" customWidth="1"/>
  </cols>
  <sheetData>
    <row r="1" spans="1:30" ht="12.7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25"/>
      <c r="Z1" s="25"/>
      <c r="AA1" s="25"/>
      <c r="AB1" s="25"/>
      <c r="AC1" s="25"/>
      <c r="AD1" s="25"/>
    </row>
    <row r="2" spans="1:30" ht="12.75">
      <c r="A2" s="159" t="s">
        <v>168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25"/>
      <c r="Z2" s="25"/>
      <c r="AA2" s="25"/>
      <c r="AB2" s="25"/>
      <c r="AC2" s="25"/>
      <c r="AD2" s="25"/>
    </row>
    <row r="3" spans="1:30" ht="12.75">
      <c r="A3" s="159" t="s">
        <v>78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25"/>
      <c r="Z3" s="25"/>
      <c r="AA3" s="25"/>
      <c r="AB3" s="25"/>
      <c r="AC3" s="25"/>
      <c r="AD3" s="25"/>
    </row>
    <row r="4" spans="1:30" ht="12.75">
      <c r="A4" s="2"/>
      <c r="B4" s="2"/>
      <c r="C4" s="2"/>
      <c r="D4" s="2"/>
      <c r="E4" s="2"/>
      <c r="F4" s="2"/>
      <c r="G4" s="2"/>
      <c r="H4" s="12"/>
      <c r="I4" s="143"/>
      <c r="J4" s="2"/>
      <c r="K4" s="2"/>
      <c r="L4" s="2"/>
      <c r="M4" s="28"/>
      <c r="N4" s="28"/>
      <c r="O4" s="2"/>
      <c r="P4" s="2"/>
      <c r="Q4" s="2"/>
      <c r="R4" s="2"/>
      <c r="S4" s="2"/>
      <c r="T4" s="2"/>
      <c r="U4" s="2"/>
      <c r="V4" s="2"/>
      <c r="W4" s="2"/>
      <c r="X4" s="2"/>
      <c r="Y4" s="25"/>
      <c r="Z4" s="25"/>
      <c r="AA4" s="25"/>
      <c r="AB4" s="25"/>
      <c r="AC4" s="25"/>
      <c r="AD4" s="25"/>
    </row>
    <row r="5" spans="1:30" ht="12.75">
      <c r="A5" s="3"/>
      <c r="B5" s="18" t="s">
        <v>6</v>
      </c>
      <c r="C5" s="3"/>
      <c r="D5" s="3" t="s">
        <v>7</v>
      </c>
      <c r="E5" s="3"/>
      <c r="F5" s="8"/>
      <c r="G5" s="18" t="s">
        <v>3</v>
      </c>
      <c r="H5" s="10" t="s">
        <v>2</v>
      </c>
      <c r="I5" s="144" t="s">
        <v>3</v>
      </c>
      <c r="J5" s="85" t="s">
        <v>76</v>
      </c>
      <c r="K5" s="85" t="s">
        <v>35</v>
      </c>
      <c r="L5" s="14" t="s">
        <v>36</v>
      </c>
      <c r="M5" s="27" t="s">
        <v>47</v>
      </c>
      <c r="N5" s="75" t="s">
        <v>77</v>
      </c>
      <c r="O5" s="2"/>
      <c r="P5" s="2"/>
      <c r="Q5" s="2"/>
      <c r="R5" s="2"/>
      <c r="S5" s="18" t="s">
        <v>76</v>
      </c>
      <c r="T5" s="18" t="s">
        <v>35</v>
      </c>
      <c r="U5" s="18" t="s">
        <v>86</v>
      </c>
      <c r="V5" s="18" t="s">
        <v>79</v>
      </c>
      <c r="W5" s="18"/>
      <c r="X5" s="18" t="s">
        <v>74</v>
      </c>
      <c r="Y5" s="25"/>
      <c r="Z5" s="25"/>
      <c r="AA5" s="25"/>
      <c r="AB5" s="25"/>
      <c r="AC5" s="25"/>
      <c r="AD5" s="25"/>
    </row>
    <row r="6" spans="1:30" ht="12.75">
      <c r="A6" s="3"/>
      <c r="B6" s="3"/>
      <c r="C6" s="3"/>
      <c r="D6" s="3" t="s">
        <v>8</v>
      </c>
      <c r="E6" s="3"/>
      <c r="F6" s="18" t="s">
        <v>9</v>
      </c>
      <c r="G6" s="18" t="s">
        <v>4</v>
      </c>
      <c r="H6" s="10" t="s">
        <v>10</v>
      </c>
      <c r="I6" s="144" t="s">
        <v>5</v>
      </c>
      <c r="J6" s="10" t="s">
        <v>1</v>
      </c>
      <c r="K6" s="26"/>
      <c r="L6" s="14" t="s">
        <v>40</v>
      </c>
      <c r="M6" s="76" t="s">
        <v>76</v>
      </c>
      <c r="N6" s="75" t="s">
        <v>35</v>
      </c>
      <c r="O6" s="2"/>
      <c r="P6" s="2"/>
      <c r="Q6" s="2"/>
      <c r="R6" s="2"/>
      <c r="S6" s="2"/>
      <c r="T6" s="18"/>
      <c r="U6" s="18"/>
      <c r="V6" s="18" t="s">
        <v>80</v>
      </c>
      <c r="W6" s="18"/>
      <c r="X6" s="18"/>
      <c r="Y6" s="25"/>
      <c r="Z6" s="25"/>
      <c r="AA6" s="25"/>
      <c r="AB6" s="25"/>
      <c r="AC6" s="25"/>
      <c r="AD6" s="25"/>
    </row>
    <row r="7" spans="1:30" ht="12.75">
      <c r="A7" s="3"/>
      <c r="B7" s="3"/>
      <c r="C7" s="3"/>
      <c r="D7" s="3" t="s">
        <v>11</v>
      </c>
      <c r="E7" s="3"/>
      <c r="F7" s="8"/>
      <c r="G7" s="18" t="s">
        <v>1</v>
      </c>
      <c r="H7" s="14" t="s">
        <v>26</v>
      </c>
      <c r="I7" s="145" t="s">
        <v>1</v>
      </c>
      <c r="J7" s="27" t="s">
        <v>1</v>
      </c>
      <c r="K7" s="27"/>
      <c r="L7" s="15"/>
      <c r="M7" s="28"/>
      <c r="N7" s="28"/>
      <c r="O7" s="2"/>
      <c r="P7" s="2"/>
      <c r="Q7" s="2"/>
      <c r="R7" s="2"/>
      <c r="S7" s="2"/>
      <c r="T7" s="4" t="s">
        <v>1</v>
      </c>
      <c r="U7" s="2"/>
      <c r="V7" s="2"/>
      <c r="W7" s="2"/>
      <c r="X7" s="2"/>
      <c r="Y7" s="25"/>
      <c r="Z7" s="25"/>
      <c r="AA7" s="25"/>
      <c r="AB7" s="25"/>
      <c r="AC7" s="25"/>
      <c r="AD7" s="25"/>
    </row>
    <row r="8" spans="1:30" ht="12.75">
      <c r="A8" s="8"/>
      <c r="B8" s="8"/>
      <c r="C8" s="8"/>
      <c r="D8" s="8"/>
      <c r="E8" s="8"/>
      <c r="F8" s="8"/>
      <c r="G8" s="9" t="s">
        <v>1</v>
      </c>
      <c r="H8" s="16" t="s">
        <v>1</v>
      </c>
      <c r="I8" s="146" t="s">
        <v>1</v>
      </c>
      <c r="J8" s="19" t="s">
        <v>1</v>
      </c>
      <c r="K8" s="19" t="s">
        <v>1</v>
      </c>
      <c r="L8" s="86"/>
      <c r="M8" s="28"/>
      <c r="N8" s="28"/>
      <c r="O8" s="2"/>
      <c r="P8" s="2"/>
      <c r="Q8" s="2"/>
      <c r="R8" s="2"/>
      <c r="S8" s="2"/>
      <c r="T8" s="9" t="s">
        <v>1</v>
      </c>
      <c r="U8" s="9"/>
      <c r="V8" s="8" t="s">
        <v>1</v>
      </c>
      <c r="W8" s="2"/>
      <c r="X8" s="9" t="s">
        <v>1</v>
      </c>
      <c r="Y8" s="25"/>
      <c r="Z8" s="25"/>
      <c r="AA8" s="25"/>
      <c r="AB8" s="25"/>
      <c r="AC8" s="25"/>
      <c r="AD8" s="25"/>
    </row>
    <row r="9" spans="1:30" ht="12.75">
      <c r="A9" s="8" t="s">
        <v>12</v>
      </c>
      <c r="B9" s="8"/>
      <c r="C9" s="8"/>
      <c r="D9" s="8"/>
      <c r="E9" s="8"/>
      <c r="F9" s="8" t="s">
        <v>27</v>
      </c>
      <c r="G9" s="4">
        <f>SUM(G10+G24+G28)</f>
        <v>6440852095</v>
      </c>
      <c r="H9" s="13">
        <f>SUM(H10+H24+H28)</f>
        <v>688135252</v>
      </c>
      <c r="I9" s="146">
        <f>+G9+H9</f>
        <v>7128987347</v>
      </c>
      <c r="J9" s="20">
        <f>SUM(J10+J24+J28)</f>
        <v>2555143636</v>
      </c>
      <c r="K9" s="20">
        <f>SUM(K10+K24+K28)</f>
        <v>2555143636</v>
      </c>
      <c r="L9" s="86">
        <f aca="true" t="shared" si="0" ref="L9:L32">+I9-J9</f>
        <v>4573843711</v>
      </c>
      <c r="M9" s="28">
        <f aca="true" t="shared" si="1" ref="M9:M32">+J9/I9*100</f>
        <v>35.841607112337606</v>
      </c>
      <c r="N9" s="28">
        <f>+K9/I9*100</f>
        <v>35.841607112337606</v>
      </c>
      <c r="O9" s="2"/>
      <c r="P9" s="2"/>
      <c r="Q9" s="2"/>
      <c r="R9" s="2"/>
      <c r="S9" s="4">
        <f>SUM(S10+S24+S28)</f>
        <v>3307842930</v>
      </c>
      <c r="T9" s="4">
        <f>SUM(T10+T24+T28)</f>
        <v>6786983736</v>
      </c>
      <c r="U9" s="4">
        <f>SUM(U10+U24+U28)</f>
        <v>5190547900</v>
      </c>
      <c r="V9" s="32">
        <f aca="true" t="shared" si="2" ref="V9:V32">+I9-T9</f>
        <v>342003611</v>
      </c>
      <c r="W9" s="2"/>
      <c r="X9" s="28">
        <f aca="true" t="shared" si="3" ref="X9:X15">+T9/I9*100</f>
        <v>95.2026340579224</v>
      </c>
      <c r="Y9" s="25"/>
      <c r="Z9" s="25"/>
      <c r="AA9" s="25"/>
      <c r="AB9" s="25"/>
      <c r="AC9" s="25"/>
      <c r="AD9" s="25"/>
    </row>
    <row r="10" spans="1:30" ht="12.75">
      <c r="A10" s="8" t="s">
        <v>12</v>
      </c>
      <c r="B10" s="8">
        <v>1</v>
      </c>
      <c r="C10" s="8">
        <v>1</v>
      </c>
      <c r="D10" s="8">
        <v>0</v>
      </c>
      <c r="E10" s="8">
        <v>0</v>
      </c>
      <c r="F10" s="8" t="s">
        <v>13</v>
      </c>
      <c r="G10" s="4">
        <f>SUM(G11+G19+G20+G21+G22+G23)</f>
        <v>2466640099</v>
      </c>
      <c r="H10" s="13">
        <f>SUM(H11+H19+H20+H21+H22+H23)</f>
        <v>161748075</v>
      </c>
      <c r="I10" s="4">
        <f>SUM(I11+I19+I20+I21+I22+I23)</f>
        <v>2628388174</v>
      </c>
      <c r="J10" s="20">
        <f>SUM(J11+J19+J20+J21+J22+J23)</f>
        <v>915525977</v>
      </c>
      <c r="K10" s="20">
        <f>SUM(K11+K19+K20+K21+K22+K23)</f>
        <v>915525977</v>
      </c>
      <c r="L10" s="86">
        <f t="shared" si="0"/>
        <v>1712862197</v>
      </c>
      <c r="M10" s="28">
        <f t="shared" si="1"/>
        <v>34.83222098076599</v>
      </c>
      <c r="N10" s="28">
        <f aca="true" t="shared" si="4" ref="N10:N32">+K10/I10*100</f>
        <v>34.83222098076599</v>
      </c>
      <c r="O10" s="2"/>
      <c r="P10" s="2"/>
      <c r="Q10" s="2"/>
      <c r="R10" s="2"/>
      <c r="S10" s="4">
        <f>SUM(S11+S19+S20+S21+S22+S23)</f>
        <v>1361643848</v>
      </c>
      <c r="T10" s="4">
        <f>SUM(T11+T19+T20+T21+T22+T23)</f>
        <v>2527888502</v>
      </c>
      <c r="U10" s="4">
        <f>SUM(U11+U19+U20+U21+U22+U23)</f>
        <v>1767390867</v>
      </c>
      <c r="V10" s="32">
        <f t="shared" si="2"/>
        <v>100499672</v>
      </c>
      <c r="W10" s="2"/>
      <c r="X10" s="28">
        <f t="shared" si="3"/>
        <v>96.17637634371732</v>
      </c>
      <c r="Y10" s="25"/>
      <c r="Z10" s="25"/>
      <c r="AA10" s="25"/>
      <c r="AB10" s="25"/>
      <c r="AC10" s="25"/>
      <c r="AD10" s="25"/>
    </row>
    <row r="11" spans="1:30" ht="12.75">
      <c r="A11" s="8" t="s">
        <v>12</v>
      </c>
      <c r="B11" s="8">
        <v>1</v>
      </c>
      <c r="C11" s="8">
        <v>1</v>
      </c>
      <c r="D11" s="8">
        <v>1</v>
      </c>
      <c r="E11" s="8">
        <v>0</v>
      </c>
      <c r="F11" s="8" t="s">
        <v>14</v>
      </c>
      <c r="G11" s="4">
        <f>SUM(G12:G18)</f>
        <v>1212342443</v>
      </c>
      <c r="H11" s="4">
        <f>SUM(H12:H18)</f>
        <v>-5100000</v>
      </c>
      <c r="I11" s="147">
        <f>SUM(I12:I18)</f>
        <v>1207242443</v>
      </c>
      <c r="J11" s="20">
        <f>SUM(J12:J18)</f>
        <v>504734926</v>
      </c>
      <c r="K11" s="20">
        <f>SUM(K12:K18)</f>
        <v>504734926</v>
      </c>
      <c r="L11" s="86">
        <f t="shared" si="0"/>
        <v>702507517</v>
      </c>
      <c r="M11" s="28">
        <f t="shared" si="1"/>
        <v>41.808911617266595</v>
      </c>
      <c r="N11" s="28">
        <f t="shared" si="4"/>
        <v>41.808911617266595</v>
      </c>
      <c r="O11" s="2"/>
      <c r="P11" s="2"/>
      <c r="Q11" s="2"/>
      <c r="R11" s="2"/>
      <c r="S11" s="4">
        <f>SUM(S12:S18)</f>
        <v>540989584</v>
      </c>
      <c r="T11" s="4">
        <f>SUM(T12:T18)</f>
        <v>1191760808</v>
      </c>
      <c r="U11" s="4">
        <f>SUM(U12:U18)</f>
        <v>983472311</v>
      </c>
      <c r="V11" s="32">
        <f t="shared" si="2"/>
        <v>15481635</v>
      </c>
      <c r="W11" s="2"/>
      <c r="X11" s="28">
        <f t="shared" si="3"/>
        <v>98.71760348637775</v>
      </c>
      <c r="Y11" s="25"/>
      <c r="Z11" s="25"/>
      <c r="AA11" s="25"/>
      <c r="AB11" s="25"/>
      <c r="AC11" s="25"/>
      <c r="AD11" s="25"/>
    </row>
    <row r="12" spans="1:30" ht="12.75">
      <c r="A12" s="8" t="s">
        <v>12</v>
      </c>
      <c r="B12" s="8">
        <v>1</v>
      </c>
      <c r="C12" s="8">
        <v>1</v>
      </c>
      <c r="D12" s="8">
        <v>1</v>
      </c>
      <c r="E12" s="8">
        <v>1</v>
      </c>
      <c r="F12" s="8" t="s">
        <v>15</v>
      </c>
      <c r="G12" s="4">
        <v>715736250</v>
      </c>
      <c r="H12" s="13">
        <v>-21000000</v>
      </c>
      <c r="I12" s="146">
        <f aca="true" t="shared" si="5" ref="I12:I32">+G12+H12</f>
        <v>694736250</v>
      </c>
      <c r="J12" s="20">
        <v>280609080</v>
      </c>
      <c r="K12" s="20">
        <v>280609080</v>
      </c>
      <c r="L12" s="86">
        <f t="shared" si="0"/>
        <v>414127170</v>
      </c>
      <c r="M12" s="28">
        <f t="shared" si="1"/>
        <v>40.39073533301307</v>
      </c>
      <c r="N12" s="28">
        <f t="shared" si="4"/>
        <v>40.39073533301307</v>
      </c>
      <c r="O12" s="2"/>
      <c r="P12" s="2"/>
      <c r="Q12" s="2"/>
      <c r="R12" s="2"/>
      <c r="S12" s="4">
        <v>177733386</v>
      </c>
      <c r="T12" s="4">
        <v>684688236</v>
      </c>
      <c r="U12" s="4">
        <f>+T12</f>
        <v>684688236</v>
      </c>
      <c r="V12" s="32">
        <f>+I12-T12</f>
        <v>10048014</v>
      </c>
      <c r="W12" s="2"/>
      <c r="X12" s="28">
        <f t="shared" si="3"/>
        <v>98.55369372189806</v>
      </c>
      <c r="Y12" s="25"/>
      <c r="Z12" s="25"/>
      <c r="AA12" s="25"/>
      <c r="AB12" s="25"/>
      <c r="AC12" s="25"/>
      <c r="AD12" s="25"/>
    </row>
    <row r="13" spans="1:30" ht="12.75">
      <c r="A13" s="8" t="s">
        <v>12</v>
      </c>
      <c r="B13" s="8">
        <v>1</v>
      </c>
      <c r="C13" s="8">
        <v>1</v>
      </c>
      <c r="D13" s="8">
        <v>1</v>
      </c>
      <c r="E13" s="8">
        <v>2</v>
      </c>
      <c r="F13" s="2" t="s">
        <v>39</v>
      </c>
      <c r="G13" s="4">
        <v>151880640</v>
      </c>
      <c r="H13" s="13">
        <v>-48000000</v>
      </c>
      <c r="I13" s="146">
        <f t="shared" si="5"/>
        <v>103880640</v>
      </c>
      <c r="J13" s="20">
        <v>41107639</v>
      </c>
      <c r="K13" s="20">
        <v>41107639</v>
      </c>
      <c r="L13" s="86">
        <f t="shared" si="0"/>
        <v>62773001</v>
      </c>
      <c r="M13" s="28">
        <f t="shared" si="1"/>
        <v>39.57199243285371</v>
      </c>
      <c r="N13" s="28">
        <f t="shared" si="4"/>
        <v>39.57199243285371</v>
      </c>
      <c r="O13" s="2"/>
      <c r="P13" s="2"/>
      <c r="Q13" s="2"/>
      <c r="R13" s="2"/>
      <c r="S13" s="4">
        <v>78846525</v>
      </c>
      <c r="T13" s="4">
        <v>102980631</v>
      </c>
      <c r="U13" s="4">
        <f>+T13</f>
        <v>102980631</v>
      </c>
      <c r="V13" s="32">
        <f t="shared" si="2"/>
        <v>900009</v>
      </c>
      <c r="W13" s="2"/>
      <c r="X13" s="28">
        <f t="shared" si="3"/>
        <v>99.13361238436728</v>
      </c>
      <c r="Y13" s="25"/>
      <c r="Z13" s="25"/>
      <c r="AA13" s="25"/>
      <c r="AB13" s="25"/>
      <c r="AC13" s="25"/>
      <c r="AD13" s="25"/>
    </row>
    <row r="14" spans="1:30" ht="12.75">
      <c r="A14" s="8" t="s">
        <v>12</v>
      </c>
      <c r="B14" s="8">
        <v>1</v>
      </c>
      <c r="C14" s="8">
        <v>1</v>
      </c>
      <c r="D14" s="8">
        <v>9</v>
      </c>
      <c r="E14" s="8">
        <v>1</v>
      </c>
      <c r="F14" s="8" t="s">
        <v>171</v>
      </c>
      <c r="G14" s="4">
        <v>0</v>
      </c>
      <c r="H14" s="13">
        <v>1900000</v>
      </c>
      <c r="I14" s="146">
        <f>+G14+H14</f>
        <v>1900000</v>
      </c>
      <c r="J14" s="20">
        <v>41107639</v>
      </c>
      <c r="K14" s="20">
        <v>41107639</v>
      </c>
      <c r="L14" s="86">
        <f>+I14-J14</f>
        <v>-39207639</v>
      </c>
      <c r="M14" s="28">
        <f>+J14/I14*100</f>
        <v>2163.559947368421</v>
      </c>
      <c r="N14" s="28">
        <f>+K14/I14*100</f>
        <v>2163.559947368421</v>
      </c>
      <c r="O14" s="2"/>
      <c r="P14" s="2"/>
      <c r="Q14" s="2"/>
      <c r="R14" s="2"/>
      <c r="S14" s="4">
        <v>78846525</v>
      </c>
      <c r="T14" s="4">
        <v>1384737</v>
      </c>
      <c r="U14" s="4">
        <f>+T14</f>
        <v>1384737</v>
      </c>
      <c r="V14" s="32">
        <f>+I14-T14</f>
        <v>515263</v>
      </c>
      <c r="W14" s="2"/>
      <c r="X14" s="28">
        <f>+T14/I14*100</f>
        <v>72.88089473684211</v>
      </c>
      <c r="Y14" s="25"/>
      <c r="Z14" s="25"/>
      <c r="AA14" s="25"/>
      <c r="AB14" s="25"/>
      <c r="AC14" s="25"/>
      <c r="AD14" s="25"/>
    </row>
    <row r="15" spans="1:30" ht="12.75">
      <c r="A15" s="8" t="s">
        <v>12</v>
      </c>
      <c r="B15" s="8">
        <v>1</v>
      </c>
      <c r="C15" s="8">
        <v>1</v>
      </c>
      <c r="D15" s="8">
        <v>9</v>
      </c>
      <c r="E15" s="8">
        <v>3</v>
      </c>
      <c r="F15" s="8" t="s">
        <v>28</v>
      </c>
      <c r="G15" s="4">
        <v>14603922</v>
      </c>
      <c r="H15" s="13">
        <f>35200000-3000000</f>
        <v>32200000</v>
      </c>
      <c r="I15" s="146">
        <f t="shared" si="5"/>
        <v>46803922</v>
      </c>
      <c r="J15" s="20">
        <v>27219355</v>
      </c>
      <c r="K15" s="20">
        <v>27219355</v>
      </c>
      <c r="L15" s="86">
        <f t="shared" si="0"/>
        <v>19584567</v>
      </c>
      <c r="M15" s="28">
        <f t="shared" si="1"/>
        <v>58.1561412738018</v>
      </c>
      <c r="N15" s="28">
        <f t="shared" si="4"/>
        <v>58.1561412738018</v>
      </c>
      <c r="O15" s="2"/>
      <c r="P15" s="2"/>
      <c r="Q15" s="2"/>
      <c r="R15" s="2"/>
      <c r="S15" s="4">
        <v>31783291</v>
      </c>
      <c r="T15" s="4">
        <v>46422064</v>
      </c>
      <c r="U15" s="4">
        <f>+T15</f>
        <v>46422064</v>
      </c>
      <c r="V15" s="32">
        <f t="shared" si="2"/>
        <v>381858</v>
      </c>
      <c r="W15" s="2"/>
      <c r="X15" s="28">
        <f t="shared" si="3"/>
        <v>99.184132475052</v>
      </c>
      <c r="Y15" s="25"/>
      <c r="Z15" s="25"/>
      <c r="AA15" s="25"/>
      <c r="AB15" s="25"/>
      <c r="AC15" s="25"/>
      <c r="AD15" s="25"/>
    </row>
    <row r="16" spans="1:30" ht="12.75" hidden="1">
      <c r="A16" s="8" t="s">
        <v>12</v>
      </c>
      <c r="B16" s="8">
        <v>1</v>
      </c>
      <c r="C16" s="8">
        <v>1</v>
      </c>
      <c r="D16" s="8">
        <v>9</v>
      </c>
      <c r="E16" s="8">
        <v>3</v>
      </c>
      <c r="F16" s="8" t="s">
        <v>82</v>
      </c>
      <c r="G16" s="4">
        <v>0</v>
      </c>
      <c r="H16" s="13">
        <v>0</v>
      </c>
      <c r="I16" s="146">
        <f t="shared" si="5"/>
        <v>0</v>
      </c>
      <c r="J16" s="20"/>
      <c r="K16" s="20"/>
      <c r="L16" s="86"/>
      <c r="M16" s="28"/>
      <c r="N16" s="28"/>
      <c r="O16" s="2"/>
      <c r="P16" s="2"/>
      <c r="Q16" s="2"/>
      <c r="R16" s="2"/>
      <c r="S16" s="4">
        <v>0</v>
      </c>
      <c r="T16" s="4">
        <v>0</v>
      </c>
      <c r="U16" s="4">
        <v>0</v>
      </c>
      <c r="V16" s="32">
        <f t="shared" si="2"/>
        <v>0</v>
      </c>
      <c r="W16" s="2"/>
      <c r="X16" s="28">
        <v>0</v>
      </c>
      <c r="Y16" s="25"/>
      <c r="Z16" s="25"/>
      <c r="AA16" s="25"/>
      <c r="AB16" s="25"/>
      <c r="AC16" s="25"/>
      <c r="AD16" s="25"/>
    </row>
    <row r="17" spans="1:30" ht="12.75">
      <c r="A17" s="8" t="s">
        <v>12</v>
      </c>
      <c r="B17" s="8">
        <v>1</v>
      </c>
      <c r="C17" s="8">
        <v>1</v>
      </c>
      <c r="D17" s="8">
        <v>4</v>
      </c>
      <c r="E17" s="8">
        <v>2</v>
      </c>
      <c r="F17" s="8" t="s">
        <v>16</v>
      </c>
      <c r="G17" s="4">
        <v>75558997</v>
      </c>
      <c r="H17" s="13">
        <v>0</v>
      </c>
      <c r="I17" s="146">
        <f t="shared" si="5"/>
        <v>75558997</v>
      </c>
      <c r="J17" s="20">
        <v>27788267</v>
      </c>
      <c r="K17" s="20">
        <v>27788267</v>
      </c>
      <c r="L17" s="86">
        <f t="shared" si="0"/>
        <v>47770730</v>
      </c>
      <c r="M17" s="28">
        <f t="shared" si="1"/>
        <v>36.776913542142445</v>
      </c>
      <c r="N17" s="28">
        <f t="shared" si="4"/>
        <v>36.776913542142445</v>
      </c>
      <c r="O17" s="2"/>
      <c r="P17" s="2"/>
      <c r="Q17" s="2"/>
      <c r="R17" s="2"/>
      <c r="S17" s="4">
        <v>22501709</v>
      </c>
      <c r="T17" s="4">
        <v>72623779</v>
      </c>
      <c r="U17" s="4">
        <f>+T17</f>
        <v>72623779</v>
      </c>
      <c r="V17" s="32">
        <f t="shared" si="2"/>
        <v>2935218</v>
      </c>
      <c r="W17" s="2"/>
      <c r="X17" s="28">
        <f aca="true" t="shared" si="6" ref="X17:X32">+T17/I17*100</f>
        <v>96.11532958808333</v>
      </c>
      <c r="Y17" s="25"/>
      <c r="Z17" s="25"/>
      <c r="AA17" s="25"/>
      <c r="AB17" s="25"/>
      <c r="AC17" s="25"/>
      <c r="AD17" s="25"/>
    </row>
    <row r="18" spans="1:30" ht="12.75">
      <c r="A18" s="8" t="s">
        <v>12</v>
      </c>
      <c r="B18" s="8">
        <v>1</v>
      </c>
      <c r="C18" s="8">
        <v>1</v>
      </c>
      <c r="D18" s="8">
        <v>5</v>
      </c>
      <c r="E18" s="8">
        <v>0</v>
      </c>
      <c r="F18" s="8" t="s">
        <v>17</v>
      </c>
      <c r="G18" s="4">
        <v>254562634</v>
      </c>
      <c r="H18" s="13">
        <f>154248075-92248075-35200000-1600000+500000+200000+400000+7600000-3400000-16000000+600000+200000+14500000</f>
        <v>29800000</v>
      </c>
      <c r="I18" s="146">
        <f t="shared" si="5"/>
        <v>284362634</v>
      </c>
      <c r="J18" s="20">
        <f>27426668+5021569+4212743+4351738+8459317+29105125+3195198+5130588</f>
        <v>86902946</v>
      </c>
      <c r="K18" s="20">
        <f>27426668+5021569+4212743+4351738+8459317+29105125+3195198+5130588</f>
        <v>86902946</v>
      </c>
      <c r="L18" s="86">
        <f t="shared" si="0"/>
        <v>197459688</v>
      </c>
      <c r="M18" s="28">
        <f t="shared" si="1"/>
        <v>30.56060663722787</v>
      </c>
      <c r="N18" s="28">
        <f t="shared" si="4"/>
        <v>30.56060663722787</v>
      </c>
      <c r="O18" s="28"/>
      <c r="P18" s="2"/>
      <c r="Q18" s="2"/>
      <c r="R18" s="2"/>
      <c r="S18" s="4">
        <f>40740946+9020349+4795124+4354946+19078981+56559356+7733197+8995249</f>
        <v>151278148</v>
      </c>
      <c r="T18" s="4">
        <f>53477521+14689220+7635213+7216353+26227146+84955126+72152774+17308008</f>
        <v>283661361</v>
      </c>
      <c r="U18" s="4">
        <f>25111629+5550438+3050430+2763525+3442123+27188939+3132962+5132818</f>
        <v>75372864</v>
      </c>
      <c r="V18" s="32">
        <f>+I18-T18</f>
        <v>701273</v>
      </c>
      <c r="W18" s="2"/>
      <c r="X18" s="28">
        <f t="shared" si="6"/>
        <v>99.75338778160284</v>
      </c>
      <c r="Y18" s="25"/>
      <c r="Z18" s="25"/>
      <c r="AA18" s="25"/>
      <c r="AB18" s="25"/>
      <c r="AC18" s="25"/>
      <c r="AD18" s="25"/>
    </row>
    <row r="19" spans="1:30" ht="12.75">
      <c r="A19" s="8" t="s">
        <v>12</v>
      </c>
      <c r="B19" s="8">
        <v>1</v>
      </c>
      <c r="C19" s="8">
        <v>0</v>
      </c>
      <c r="D19" s="8">
        <v>2</v>
      </c>
      <c r="E19" s="8">
        <v>0</v>
      </c>
      <c r="F19" s="8" t="s">
        <v>29</v>
      </c>
      <c r="G19" s="4">
        <v>675056925</v>
      </c>
      <c r="H19" s="13">
        <f>92248075-3100000-34000000+2000000+25000000-15300000</f>
        <v>66848075</v>
      </c>
      <c r="I19" s="146">
        <f>+G19+H19</f>
        <v>741905000</v>
      </c>
      <c r="J19" s="20">
        <f>1057231+8089692+296851321</f>
        <v>305998244</v>
      </c>
      <c r="K19" s="20">
        <f>1057231+8089692+296851321</f>
        <v>305998244</v>
      </c>
      <c r="L19" s="86">
        <f t="shared" si="0"/>
        <v>435906756</v>
      </c>
      <c r="M19" s="28">
        <f t="shared" si="1"/>
        <v>41.24493621150956</v>
      </c>
      <c r="N19" s="28">
        <f t="shared" si="4"/>
        <v>41.24493621150956</v>
      </c>
      <c r="O19" s="9" t="s">
        <v>1</v>
      </c>
      <c r="P19" s="2"/>
      <c r="Q19" s="2"/>
      <c r="R19" s="2"/>
      <c r="S19" s="4">
        <f>543331358+11874352+54257070</f>
        <v>609462780</v>
      </c>
      <c r="T19" s="4">
        <f>76019284+19233618+642214664</f>
        <v>737467566</v>
      </c>
      <c r="U19" s="4">
        <f>139038852-12099496+11827031+46492041</f>
        <v>185258428</v>
      </c>
      <c r="V19" s="32">
        <f t="shared" si="2"/>
        <v>4437434</v>
      </c>
      <c r="W19" s="2"/>
      <c r="X19" s="28">
        <f t="shared" si="6"/>
        <v>99.40188649490163</v>
      </c>
      <c r="Y19" s="25"/>
      <c r="Z19" s="25"/>
      <c r="AA19" s="25"/>
      <c r="AB19" s="25"/>
      <c r="AC19" s="25"/>
      <c r="AD19" s="25"/>
    </row>
    <row r="20" spans="1:30" ht="12.75">
      <c r="A20" s="8" t="s">
        <v>12</v>
      </c>
      <c r="B20" s="8">
        <v>1</v>
      </c>
      <c r="C20" s="8">
        <v>5</v>
      </c>
      <c r="D20" s="8">
        <v>0</v>
      </c>
      <c r="E20" s="8">
        <v>1</v>
      </c>
      <c r="F20" s="8" t="s">
        <v>18</v>
      </c>
      <c r="G20" s="4">
        <v>266537155</v>
      </c>
      <c r="H20" s="13">
        <v>35000000</v>
      </c>
      <c r="I20" s="146">
        <f t="shared" si="5"/>
        <v>301537155</v>
      </c>
      <c r="J20" s="20">
        <v>14234485</v>
      </c>
      <c r="K20" s="20">
        <v>14234485</v>
      </c>
      <c r="L20" s="86">
        <f t="shared" si="0"/>
        <v>287302670</v>
      </c>
      <c r="M20" s="28">
        <f t="shared" si="1"/>
        <v>4.720640479611874</v>
      </c>
      <c r="N20" s="28">
        <f t="shared" si="4"/>
        <v>4.720640479611874</v>
      </c>
      <c r="O20" s="28"/>
      <c r="P20" s="2"/>
      <c r="Q20" s="2"/>
      <c r="R20" s="2"/>
      <c r="S20" s="4">
        <v>139595008</v>
      </c>
      <c r="T20" s="4">
        <v>271679603</v>
      </c>
      <c r="U20" s="4">
        <f>+T20</f>
        <v>271679603</v>
      </c>
      <c r="V20" s="32">
        <f>+I20-T20</f>
        <v>29857552</v>
      </c>
      <c r="W20" s="2"/>
      <c r="X20" s="28">
        <f t="shared" si="6"/>
        <v>90.09821791281409</v>
      </c>
      <c r="Y20" s="25"/>
      <c r="Z20" s="25"/>
      <c r="AA20" s="25"/>
      <c r="AB20" s="25"/>
      <c r="AC20" s="25"/>
      <c r="AD20" s="25"/>
    </row>
    <row r="21" spans="1:30" ht="12.75">
      <c r="A21" s="8" t="s">
        <v>12</v>
      </c>
      <c r="B21" s="8">
        <v>1</v>
      </c>
      <c r="C21" s="8">
        <v>5</v>
      </c>
      <c r="D21" s="8">
        <v>0</v>
      </c>
      <c r="E21" s="8">
        <v>2</v>
      </c>
      <c r="F21" s="8" t="s">
        <v>19</v>
      </c>
      <c r="G21" s="4">
        <f>312703575-25928175-52565062+1</f>
        <v>234210339</v>
      </c>
      <c r="H21" s="13">
        <v>45000000</v>
      </c>
      <c r="I21" s="146">
        <f t="shared" si="5"/>
        <v>279210339</v>
      </c>
      <c r="J21" s="20">
        <v>58847998</v>
      </c>
      <c r="K21" s="20">
        <v>58847998</v>
      </c>
      <c r="L21" s="86">
        <f t="shared" si="0"/>
        <v>220362341</v>
      </c>
      <c r="M21" s="28">
        <f t="shared" si="1"/>
        <v>21.076582697748883</v>
      </c>
      <c r="N21" s="28">
        <f t="shared" si="4"/>
        <v>21.076582697748883</v>
      </c>
      <c r="O21" s="28"/>
      <c r="P21" s="2"/>
      <c r="Q21" s="2"/>
      <c r="R21" s="2"/>
      <c r="S21" s="4">
        <v>48681682</v>
      </c>
      <c r="T21" s="4">
        <v>255574857</v>
      </c>
      <c r="U21" s="4">
        <f>+T21</f>
        <v>255574857</v>
      </c>
      <c r="V21" s="32">
        <f t="shared" si="2"/>
        <v>23635482</v>
      </c>
      <c r="W21" s="2"/>
      <c r="X21" s="28">
        <f t="shared" si="6"/>
        <v>91.53488295431639</v>
      </c>
      <c r="Y21" s="25"/>
      <c r="Z21" s="25"/>
      <c r="AA21" s="25"/>
      <c r="AB21" s="25"/>
      <c r="AC21" s="25"/>
      <c r="AD21" s="25"/>
    </row>
    <row r="22" spans="1:30" ht="12.75">
      <c r="A22" s="8" t="s">
        <v>12</v>
      </c>
      <c r="B22" s="8">
        <v>1</v>
      </c>
      <c r="C22" s="8">
        <v>5</v>
      </c>
      <c r="D22" s="8">
        <v>0</v>
      </c>
      <c r="E22" s="8">
        <v>6</v>
      </c>
      <c r="F22" s="2" t="s">
        <v>37</v>
      </c>
      <c r="G22" s="4">
        <v>52565062</v>
      </c>
      <c r="H22" s="13">
        <v>10000000</v>
      </c>
      <c r="I22" s="146">
        <f t="shared" si="5"/>
        <v>62565062</v>
      </c>
      <c r="J22" s="20">
        <v>15733377</v>
      </c>
      <c r="K22" s="20">
        <v>15733377</v>
      </c>
      <c r="L22" s="86">
        <f t="shared" si="0"/>
        <v>46831685</v>
      </c>
      <c r="M22" s="28">
        <f t="shared" si="1"/>
        <v>25.14722513980726</v>
      </c>
      <c r="N22" s="28">
        <f t="shared" si="4"/>
        <v>25.14722513980726</v>
      </c>
      <c r="O22" s="28"/>
      <c r="P22" s="2"/>
      <c r="Q22" s="2"/>
      <c r="R22" s="2"/>
      <c r="S22" s="4">
        <v>18954215</v>
      </c>
      <c r="T22" s="4">
        <v>48323779</v>
      </c>
      <c r="U22" s="4">
        <f>+T22</f>
        <v>48323779</v>
      </c>
      <c r="V22" s="32">
        <f t="shared" si="2"/>
        <v>14241283</v>
      </c>
      <c r="W22" s="2"/>
      <c r="X22" s="28">
        <f t="shared" si="6"/>
        <v>77.2376426319213</v>
      </c>
      <c r="Y22" s="25"/>
      <c r="Z22" s="25"/>
      <c r="AA22" s="25"/>
      <c r="AB22" s="25"/>
      <c r="AC22" s="25"/>
      <c r="AD22" s="25"/>
    </row>
    <row r="23" spans="1:30" ht="12.75">
      <c r="A23" s="8" t="s">
        <v>12</v>
      </c>
      <c r="B23" s="8">
        <v>1</v>
      </c>
      <c r="C23" s="8">
        <v>5</v>
      </c>
      <c r="D23" s="8">
        <v>0</v>
      </c>
      <c r="E23" s="8">
        <v>7</v>
      </c>
      <c r="F23" s="2" t="s">
        <v>38</v>
      </c>
      <c r="G23" s="4">
        <v>25928175</v>
      </c>
      <c r="H23" s="13">
        <v>10000000</v>
      </c>
      <c r="I23" s="146">
        <f t="shared" si="5"/>
        <v>35928175</v>
      </c>
      <c r="J23" s="20">
        <v>15976947</v>
      </c>
      <c r="K23" s="20">
        <v>15976947</v>
      </c>
      <c r="L23" s="86">
        <f t="shared" si="0"/>
        <v>19951228</v>
      </c>
      <c r="M23" s="28">
        <f t="shared" si="1"/>
        <v>44.46913042479892</v>
      </c>
      <c r="N23" s="28">
        <f t="shared" si="4"/>
        <v>44.46913042479892</v>
      </c>
      <c r="O23" s="28"/>
      <c r="P23" s="2"/>
      <c r="Q23" s="2"/>
      <c r="R23" s="2"/>
      <c r="S23" s="4">
        <v>3960579</v>
      </c>
      <c r="T23" s="4">
        <v>23081889</v>
      </c>
      <c r="U23" s="4">
        <f>+T23</f>
        <v>23081889</v>
      </c>
      <c r="V23" s="32">
        <f t="shared" si="2"/>
        <v>12846286</v>
      </c>
      <c r="W23" s="2"/>
      <c r="X23" s="28">
        <f t="shared" si="6"/>
        <v>64.24453510371735</v>
      </c>
      <c r="Y23" s="25"/>
      <c r="Z23" s="25"/>
      <c r="AA23" s="25"/>
      <c r="AB23" s="25"/>
      <c r="AC23" s="25"/>
      <c r="AD23" s="25"/>
    </row>
    <row r="24" spans="1:30" ht="12.75">
      <c r="A24" s="8" t="s">
        <v>12</v>
      </c>
      <c r="B24" s="8">
        <v>2</v>
      </c>
      <c r="C24" s="8">
        <v>0</v>
      </c>
      <c r="D24" s="8">
        <v>0</v>
      </c>
      <c r="E24" s="8">
        <v>0</v>
      </c>
      <c r="F24" s="8" t="s">
        <v>20</v>
      </c>
      <c r="G24" s="4">
        <f>SUM(G25:G27)</f>
        <v>1348963741</v>
      </c>
      <c r="H24" s="13">
        <f>+H25+H26+H27</f>
        <v>20646345</v>
      </c>
      <c r="I24" s="146">
        <f>+G24+H24</f>
        <v>1369610086</v>
      </c>
      <c r="J24" s="20">
        <f>SUM(J25:J27)</f>
        <v>837471929</v>
      </c>
      <c r="K24" s="20">
        <f>SUM(K25:K27)</f>
        <v>837471929</v>
      </c>
      <c r="L24" s="86">
        <f t="shared" si="0"/>
        <v>532138157</v>
      </c>
      <c r="M24" s="28">
        <f t="shared" si="1"/>
        <v>61.1467407812299</v>
      </c>
      <c r="N24" s="28">
        <f t="shared" si="4"/>
        <v>61.1467407812299</v>
      </c>
      <c r="O24" s="28"/>
      <c r="P24" s="2"/>
      <c r="Q24" s="2"/>
      <c r="R24" s="2"/>
      <c r="S24" s="4">
        <f>SUM(S25:S27)</f>
        <v>680793888</v>
      </c>
      <c r="T24" s="4">
        <f>SUM(T25:T27)</f>
        <v>1322669822</v>
      </c>
      <c r="U24" s="4">
        <f>SUM(U25:U27)</f>
        <v>526053304</v>
      </c>
      <c r="V24" s="32">
        <f t="shared" si="2"/>
        <v>46940264</v>
      </c>
      <c r="W24" s="2"/>
      <c r="X24" s="28">
        <f t="shared" si="6"/>
        <v>96.57272792601208</v>
      </c>
      <c r="Y24" s="25"/>
      <c r="Z24" s="25"/>
      <c r="AA24" s="25"/>
      <c r="AB24" s="25"/>
      <c r="AC24" s="25"/>
      <c r="AD24" s="25"/>
    </row>
    <row r="25" spans="1:30" ht="12.75">
      <c r="A25" s="8" t="s">
        <v>12</v>
      </c>
      <c r="B25" s="8">
        <v>2</v>
      </c>
      <c r="C25" s="8">
        <v>4</v>
      </c>
      <c r="D25" s="8">
        <v>0</v>
      </c>
      <c r="E25" s="8">
        <v>0</v>
      </c>
      <c r="F25" s="8" t="s">
        <v>30</v>
      </c>
      <c r="G25" s="4">
        <v>274139233</v>
      </c>
      <c r="H25" s="13">
        <f>55285016+9561142-4000000-18500000-60000000</f>
        <v>-17653842</v>
      </c>
      <c r="I25" s="146">
        <f t="shared" si="5"/>
        <v>256485391</v>
      </c>
      <c r="J25" s="20">
        <f>134064120+89932764</f>
        <v>223996884</v>
      </c>
      <c r="K25" s="20">
        <f>134064120+89932764</f>
        <v>223996884</v>
      </c>
      <c r="L25" s="86">
        <f t="shared" si="0"/>
        <v>32488507</v>
      </c>
      <c r="M25" s="28">
        <f t="shared" si="1"/>
        <v>87.33319395957332</v>
      </c>
      <c r="N25" s="28">
        <f t="shared" si="4"/>
        <v>87.33319395957332</v>
      </c>
      <c r="O25" s="28"/>
      <c r="P25" s="2"/>
      <c r="Q25" s="2"/>
      <c r="R25" s="2"/>
      <c r="S25" s="4">
        <v>90516630</v>
      </c>
      <c r="T25" s="4">
        <f>96404906+157262517</f>
        <v>253667423</v>
      </c>
      <c r="U25" s="4">
        <v>71539421</v>
      </c>
      <c r="V25" s="32">
        <f t="shared" si="2"/>
        <v>2817968</v>
      </c>
      <c r="W25" s="2"/>
      <c r="X25" s="28">
        <f t="shared" si="6"/>
        <v>98.90131442223155</v>
      </c>
      <c r="Y25" s="25"/>
      <c r="Z25" s="25"/>
      <c r="AA25" s="25"/>
      <c r="AB25" s="25"/>
      <c r="AC25" s="25"/>
      <c r="AD25" s="25"/>
    </row>
    <row r="26" spans="1:30" ht="12.75">
      <c r="A26" s="8" t="s">
        <v>12</v>
      </c>
      <c r="B26" s="8">
        <v>2</v>
      </c>
      <c r="C26" s="8">
        <v>4</v>
      </c>
      <c r="D26" s="8">
        <v>0</v>
      </c>
      <c r="E26" s="8">
        <v>0</v>
      </c>
      <c r="F26" s="8" t="s">
        <v>21</v>
      </c>
      <c r="G26" s="4">
        <v>1016290508</v>
      </c>
      <c r="H26" s="13">
        <f>65648743+29151444+10000000+4000000-19000000-20500000-7000000-12000000+20000000-25000000</f>
        <v>45300187</v>
      </c>
      <c r="I26" s="146">
        <f t="shared" si="5"/>
        <v>1061590695</v>
      </c>
      <c r="J26" s="19">
        <f>161733438+78749875+21372007+10000000+69921141+34446675+101350157+88741110+4349508</f>
        <v>570663911</v>
      </c>
      <c r="K26" s="19">
        <f>161733438+78749875+21372007+10000000+69921141+34446675+101350157+88741110+4349508</f>
        <v>570663911</v>
      </c>
      <c r="L26" s="86">
        <f t="shared" si="0"/>
        <v>490926784</v>
      </c>
      <c r="M26" s="28">
        <f t="shared" si="1"/>
        <v>53.755549449310124</v>
      </c>
      <c r="N26" s="28">
        <f t="shared" si="4"/>
        <v>53.755549449310124</v>
      </c>
      <c r="O26" s="28"/>
      <c r="P26" s="2"/>
      <c r="Q26" s="2"/>
      <c r="R26" s="2"/>
      <c r="S26" s="4">
        <f>177530145+48822952+12932524+101159449+50929093+34887478+95118421+602400+22704858</f>
        <v>544687320</v>
      </c>
      <c r="T26" s="4">
        <f>311413443+108661706+24772221+174117405+129523650+50893837+118446006+99902136+602400</f>
        <v>1018332804</v>
      </c>
      <c r="U26" s="4">
        <f>105788413+23427623+12881000+100724267+49185142+19962215+84084828+602400+7938400-750000</f>
        <v>403844288</v>
      </c>
      <c r="V26" s="32">
        <f t="shared" si="2"/>
        <v>43257891</v>
      </c>
      <c r="W26" s="2"/>
      <c r="X26" s="28">
        <f t="shared" si="6"/>
        <v>95.9251817858106</v>
      </c>
      <c r="Y26" s="25"/>
      <c r="Z26" s="25"/>
      <c r="AA26" s="25"/>
      <c r="AB26" s="25"/>
      <c r="AC26" s="25"/>
      <c r="AD26" s="25"/>
    </row>
    <row r="27" spans="1:30" ht="12.75">
      <c r="A27" s="8" t="s">
        <v>12</v>
      </c>
      <c r="B27" s="8">
        <v>2</v>
      </c>
      <c r="C27" s="8">
        <v>0</v>
      </c>
      <c r="D27" s="8">
        <v>3</v>
      </c>
      <c r="E27" s="8">
        <v>0</v>
      </c>
      <c r="F27" s="29" t="s">
        <v>22</v>
      </c>
      <c r="G27" s="13">
        <v>58534000</v>
      </c>
      <c r="H27" s="13">
        <v>-7000000</v>
      </c>
      <c r="I27" s="146">
        <f t="shared" si="5"/>
        <v>51534000</v>
      </c>
      <c r="J27" s="20">
        <v>42811134</v>
      </c>
      <c r="K27" s="20">
        <v>42811134</v>
      </c>
      <c r="L27" s="86">
        <f t="shared" si="0"/>
        <v>8722866</v>
      </c>
      <c r="M27" s="28">
        <f t="shared" si="1"/>
        <v>83.07357084643148</v>
      </c>
      <c r="N27" s="28">
        <f t="shared" si="4"/>
        <v>83.07357084643148</v>
      </c>
      <c r="O27" s="28"/>
      <c r="P27" s="2"/>
      <c r="Q27" s="2"/>
      <c r="R27" s="2"/>
      <c r="S27" s="13">
        <v>45589938</v>
      </c>
      <c r="T27" s="13">
        <v>50669595</v>
      </c>
      <c r="U27" s="13">
        <f>+T27</f>
        <v>50669595</v>
      </c>
      <c r="V27" s="32">
        <f t="shared" si="2"/>
        <v>864405</v>
      </c>
      <c r="W27" s="2"/>
      <c r="X27" s="28">
        <f t="shared" si="6"/>
        <v>98.32265106531611</v>
      </c>
      <c r="Y27" s="25"/>
      <c r="Z27" s="25"/>
      <c r="AA27" s="25"/>
      <c r="AB27" s="25"/>
      <c r="AC27" s="25"/>
      <c r="AD27" s="25"/>
    </row>
    <row r="28" spans="1:30" ht="12.75">
      <c r="A28" s="8" t="s">
        <v>12</v>
      </c>
      <c r="B28" s="8">
        <v>3</v>
      </c>
      <c r="C28" s="8">
        <v>0</v>
      </c>
      <c r="D28" s="8">
        <v>0</v>
      </c>
      <c r="E28" s="8">
        <v>0</v>
      </c>
      <c r="F28" s="8" t="s">
        <v>23</v>
      </c>
      <c r="G28" s="4">
        <f>SUM(G29:G32)</f>
        <v>2625248255</v>
      </c>
      <c r="H28" s="13">
        <f>+H29+H30+H31+H32</f>
        <v>505740832</v>
      </c>
      <c r="I28" s="146">
        <f t="shared" si="5"/>
        <v>3130989087</v>
      </c>
      <c r="J28" s="20">
        <f>SUM(J29:J32)</f>
        <v>802145730</v>
      </c>
      <c r="K28" s="20">
        <f>SUM(K29:K32)</f>
        <v>802145730</v>
      </c>
      <c r="L28" s="86">
        <f t="shared" si="0"/>
        <v>2328843357</v>
      </c>
      <c r="M28" s="28">
        <f t="shared" si="1"/>
        <v>25.619563266143057</v>
      </c>
      <c r="N28" s="28">
        <f t="shared" si="4"/>
        <v>25.619563266143057</v>
      </c>
      <c r="O28" s="28"/>
      <c r="P28" s="2"/>
      <c r="Q28" s="2"/>
      <c r="R28" s="2"/>
      <c r="S28" s="4">
        <f>SUM(S29:S32)</f>
        <v>1265405194</v>
      </c>
      <c r="T28" s="4">
        <f>SUM(T29:T32)</f>
        <v>2936425412</v>
      </c>
      <c r="U28" s="4">
        <f>SUM(U29:U32)</f>
        <v>2897103729</v>
      </c>
      <c r="V28" s="32">
        <f t="shared" si="2"/>
        <v>194563675</v>
      </c>
      <c r="W28" s="2"/>
      <c r="X28" s="28">
        <f t="shared" si="6"/>
        <v>93.78587182536545</v>
      </c>
      <c r="Y28" s="25"/>
      <c r="Z28" s="25"/>
      <c r="AA28" s="25"/>
      <c r="AB28" s="25"/>
      <c r="AC28" s="25"/>
      <c r="AD28" s="25"/>
    </row>
    <row r="29" spans="1:30" ht="12.75">
      <c r="A29" s="8" t="s">
        <v>12</v>
      </c>
      <c r="B29" s="8">
        <v>3</v>
      </c>
      <c r="C29" s="8">
        <v>2</v>
      </c>
      <c r="D29" s="8">
        <v>1</v>
      </c>
      <c r="E29" s="8">
        <v>1</v>
      </c>
      <c r="F29" s="8" t="s">
        <v>31</v>
      </c>
      <c r="G29" s="4">
        <v>32928850</v>
      </c>
      <c r="H29" s="13">
        <f>5000000+1500000</f>
        <v>6500000</v>
      </c>
      <c r="I29" s="146">
        <f t="shared" si="5"/>
        <v>39428850</v>
      </c>
      <c r="J29" s="20">
        <v>16797214</v>
      </c>
      <c r="K29" s="20">
        <v>16797214</v>
      </c>
      <c r="L29" s="86">
        <f t="shared" si="0"/>
        <v>22631636</v>
      </c>
      <c r="M29" s="28">
        <f t="shared" si="1"/>
        <v>42.60132872249635</v>
      </c>
      <c r="N29" s="28">
        <f t="shared" si="4"/>
        <v>42.60132872249635</v>
      </c>
      <c r="O29" s="28"/>
      <c r="P29" s="2"/>
      <c r="Q29" s="2"/>
      <c r="R29" s="2"/>
      <c r="S29" s="4">
        <v>0</v>
      </c>
      <c r="T29" s="4">
        <v>39321683</v>
      </c>
      <c r="U29" s="4">
        <v>0</v>
      </c>
      <c r="V29" s="32">
        <f t="shared" si="2"/>
        <v>107167</v>
      </c>
      <c r="W29" s="2"/>
      <c r="X29" s="28">
        <f t="shared" si="6"/>
        <v>99.72820155799624</v>
      </c>
      <c r="Y29" s="25"/>
      <c r="Z29" s="25"/>
      <c r="AA29" s="25"/>
      <c r="AB29" s="25"/>
      <c r="AC29" s="25"/>
      <c r="AD29" s="25"/>
    </row>
    <row r="30" spans="1:30" ht="12.75">
      <c r="A30" s="8" t="s">
        <v>12</v>
      </c>
      <c r="B30" s="8">
        <v>3</v>
      </c>
      <c r="C30" s="8">
        <v>2</v>
      </c>
      <c r="D30" s="8">
        <v>1</v>
      </c>
      <c r="E30" s="8">
        <v>2</v>
      </c>
      <c r="F30" s="8" t="s">
        <v>32</v>
      </c>
      <c r="G30" s="4">
        <v>2362319405</v>
      </c>
      <c r="H30" s="13">
        <f>318440832+140000000</f>
        <v>458440832</v>
      </c>
      <c r="I30" s="146">
        <f t="shared" si="5"/>
        <v>2820760237</v>
      </c>
      <c r="J30" s="20">
        <v>740995272</v>
      </c>
      <c r="K30" s="20">
        <v>740995272</v>
      </c>
      <c r="L30" s="86">
        <f t="shared" si="0"/>
        <v>2079764965</v>
      </c>
      <c r="M30" s="28">
        <f t="shared" si="1"/>
        <v>26.269346195410087</v>
      </c>
      <c r="N30" s="28">
        <f t="shared" si="4"/>
        <v>26.269346195410087</v>
      </c>
      <c r="O30" s="28"/>
      <c r="P30" s="2"/>
      <c r="Q30" s="2"/>
      <c r="R30" s="2"/>
      <c r="S30" s="4">
        <v>951099213</v>
      </c>
      <c r="T30" s="4">
        <v>2820760237</v>
      </c>
      <c r="U30" s="4">
        <f>+T30</f>
        <v>2820760237</v>
      </c>
      <c r="V30" s="32">
        <f t="shared" si="2"/>
        <v>0</v>
      </c>
      <c r="W30" s="2"/>
      <c r="X30" s="28">
        <f t="shared" si="6"/>
        <v>100</v>
      </c>
      <c r="Y30" s="25"/>
      <c r="Z30" s="25"/>
      <c r="AA30" s="25"/>
      <c r="AB30" s="25"/>
      <c r="AC30" s="25"/>
      <c r="AD30" s="25"/>
    </row>
    <row r="31" spans="1:30" ht="12.75">
      <c r="A31" s="8" t="s">
        <v>12</v>
      </c>
      <c r="B31" s="8">
        <v>3</v>
      </c>
      <c r="C31" s="8">
        <v>2</v>
      </c>
      <c r="D31" s="8">
        <v>1</v>
      </c>
      <c r="E31" s="8">
        <v>3</v>
      </c>
      <c r="F31" s="8" t="s">
        <v>33</v>
      </c>
      <c r="G31" s="4">
        <v>30000000</v>
      </c>
      <c r="H31" s="13">
        <v>800000</v>
      </c>
      <c r="I31" s="146">
        <f t="shared" si="5"/>
        <v>30800000</v>
      </c>
      <c r="J31" s="20">
        <v>21590305</v>
      </c>
      <c r="K31" s="20">
        <v>21590305</v>
      </c>
      <c r="L31" s="86">
        <f t="shared" si="0"/>
        <v>9209695</v>
      </c>
      <c r="M31" s="28">
        <f t="shared" si="1"/>
        <v>70.09839285714285</v>
      </c>
      <c r="N31" s="28">
        <f t="shared" si="4"/>
        <v>70.09839285714285</v>
      </c>
      <c r="O31" s="28"/>
      <c r="P31" s="2"/>
      <c r="Q31" s="2"/>
      <c r="R31" s="2"/>
      <c r="S31" s="4">
        <v>22814692</v>
      </c>
      <c r="T31" s="4">
        <v>30779903</v>
      </c>
      <c r="U31" s="4">
        <f>+T31</f>
        <v>30779903</v>
      </c>
      <c r="V31" s="32">
        <f t="shared" si="2"/>
        <v>20097</v>
      </c>
      <c r="W31" s="2"/>
      <c r="X31" s="28">
        <f t="shared" si="6"/>
        <v>99.93475000000001</v>
      </c>
      <c r="Y31" s="25"/>
      <c r="Z31" s="25"/>
      <c r="AA31" s="25"/>
      <c r="AB31" s="25"/>
      <c r="AC31" s="25"/>
      <c r="AD31" s="25"/>
    </row>
    <row r="32" spans="1:30" ht="12.75">
      <c r="A32" s="8" t="s">
        <v>12</v>
      </c>
      <c r="B32" s="8">
        <v>3</v>
      </c>
      <c r="C32" s="8">
        <v>6</v>
      </c>
      <c r="D32" s="8">
        <v>1</v>
      </c>
      <c r="E32" s="8">
        <v>1</v>
      </c>
      <c r="F32" s="8" t="s">
        <v>34</v>
      </c>
      <c r="G32" s="13">
        <v>200000000</v>
      </c>
      <c r="H32" s="13">
        <v>40000000</v>
      </c>
      <c r="I32" s="146">
        <f t="shared" si="5"/>
        <v>240000000</v>
      </c>
      <c r="J32" s="20">
        <v>22762939</v>
      </c>
      <c r="K32" s="20">
        <v>22762939</v>
      </c>
      <c r="L32" s="86">
        <f t="shared" si="0"/>
        <v>217237061</v>
      </c>
      <c r="M32" s="28">
        <f t="shared" si="1"/>
        <v>9.484557916666667</v>
      </c>
      <c r="N32" s="28">
        <f t="shared" si="4"/>
        <v>9.484557916666667</v>
      </c>
      <c r="O32" s="28"/>
      <c r="P32" s="2"/>
      <c r="Q32" s="2"/>
      <c r="R32" s="2"/>
      <c r="S32" s="13">
        <v>291491289</v>
      </c>
      <c r="T32" s="13">
        <v>45563589</v>
      </c>
      <c r="U32" s="13">
        <f>+T32</f>
        <v>45563589</v>
      </c>
      <c r="V32" s="32">
        <f t="shared" si="2"/>
        <v>194436411</v>
      </c>
      <c r="W32" s="2"/>
      <c r="X32" s="28">
        <f t="shared" si="6"/>
        <v>18.98482875</v>
      </c>
      <c r="Y32" s="25"/>
      <c r="Z32" s="25"/>
      <c r="AA32" s="25"/>
      <c r="AB32" s="25"/>
      <c r="AC32" s="25"/>
      <c r="AD32" s="25"/>
    </row>
    <row r="33" spans="1:30" ht="12.75">
      <c r="A33" s="2"/>
      <c r="B33" s="2"/>
      <c r="C33" s="2"/>
      <c r="D33" s="2"/>
      <c r="E33" s="2"/>
      <c r="F33" s="3"/>
      <c r="G33" s="9" t="s">
        <v>1</v>
      </c>
      <c r="H33" s="12"/>
      <c r="I33" s="146" t="s">
        <v>1</v>
      </c>
      <c r="J33" s="87"/>
      <c r="K33" s="87"/>
      <c r="L33" s="19" t="s">
        <v>1</v>
      </c>
      <c r="M33" s="9" t="s">
        <v>1</v>
      </c>
      <c r="N33" s="28"/>
      <c r="O33" s="28"/>
      <c r="P33" s="2"/>
      <c r="Q33" s="2"/>
      <c r="R33" s="2"/>
      <c r="S33" s="2"/>
      <c r="T33" s="2"/>
      <c r="U33" s="2"/>
      <c r="V33" s="2"/>
      <c r="W33" s="2"/>
      <c r="X33" s="28"/>
      <c r="Y33" s="25"/>
      <c r="Z33" s="25"/>
      <c r="AA33" s="25"/>
      <c r="AB33" s="25"/>
      <c r="AC33" s="25"/>
      <c r="AD33" s="25"/>
    </row>
    <row r="34" spans="1:30" ht="12.75">
      <c r="A34" s="8"/>
      <c r="B34" s="8"/>
      <c r="C34" s="8"/>
      <c r="D34" s="8"/>
      <c r="E34" s="8"/>
      <c r="F34" s="8" t="s">
        <v>1</v>
      </c>
      <c r="G34" s="4" t="s">
        <v>1</v>
      </c>
      <c r="H34" s="13" t="s">
        <v>1</v>
      </c>
      <c r="I34" s="146" t="s">
        <v>1</v>
      </c>
      <c r="J34" s="20" t="s">
        <v>1</v>
      </c>
      <c r="K34" s="20"/>
      <c r="L34" s="19" t="s">
        <v>1</v>
      </c>
      <c r="M34" s="9" t="s">
        <v>1</v>
      </c>
      <c r="N34" s="28"/>
      <c r="O34" s="28"/>
      <c r="P34" s="2"/>
      <c r="Q34" s="2"/>
      <c r="R34" s="2"/>
      <c r="S34" s="2"/>
      <c r="T34" s="2"/>
      <c r="U34" s="2"/>
      <c r="V34" s="2"/>
      <c r="W34" s="2"/>
      <c r="X34" s="28"/>
      <c r="Y34" s="25"/>
      <c r="Z34" s="25"/>
      <c r="AA34" s="25"/>
      <c r="AB34" s="25"/>
      <c r="AC34" s="25"/>
      <c r="AD34" s="25"/>
    </row>
    <row r="35" spans="1:30" ht="12.75">
      <c r="A35" s="84"/>
      <c r="B35" s="84"/>
      <c r="C35" s="84"/>
      <c r="D35" s="84"/>
      <c r="E35" s="84"/>
      <c r="F35" s="84"/>
      <c r="G35" s="95"/>
      <c r="H35" s="81"/>
      <c r="I35" s="148"/>
      <c r="J35" s="120"/>
      <c r="K35" s="120"/>
      <c r="L35" s="119"/>
      <c r="M35" s="35"/>
      <c r="N35" s="58"/>
      <c r="O35" s="58"/>
      <c r="P35" s="77"/>
      <c r="Q35" s="77"/>
      <c r="R35" s="77"/>
      <c r="S35" s="77"/>
      <c r="T35" s="119"/>
      <c r="U35" s="77"/>
      <c r="V35" s="77"/>
      <c r="W35" s="77"/>
      <c r="X35" s="58"/>
      <c r="Y35" s="25"/>
      <c r="Z35" s="25"/>
      <c r="AA35" s="25"/>
      <c r="AB35" s="25"/>
      <c r="AC35" s="25"/>
      <c r="AD35" s="25"/>
    </row>
    <row r="36" spans="1:30" ht="12.75">
      <c r="A36" s="84"/>
      <c r="B36" s="84"/>
      <c r="C36" s="84"/>
      <c r="D36" s="84"/>
      <c r="E36" s="84"/>
      <c r="F36" s="84"/>
      <c r="G36" s="95"/>
      <c r="H36" s="81"/>
      <c r="I36" s="148"/>
      <c r="J36" s="120"/>
      <c r="K36" s="120"/>
      <c r="L36" s="119"/>
      <c r="M36" s="35"/>
      <c r="N36" s="58"/>
      <c r="O36" s="58"/>
      <c r="P36" s="77"/>
      <c r="Q36" s="77"/>
      <c r="R36" s="77"/>
      <c r="S36" s="77"/>
      <c r="T36" s="124" t="s">
        <v>1</v>
      </c>
      <c r="U36" s="77"/>
      <c r="V36" s="124" t="s">
        <v>26</v>
      </c>
      <c r="W36" s="77"/>
      <c r="X36" s="58"/>
      <c r="Y36" s="25"/>
      <c r="Z36" s="25"/>
      <c r="AA36" s="25"/>
      <c r="AB36" s="25"/>
      <c r="AC36" s="25"/>
      <c r="AD36" s="25"/>
    </row>
    <row r="37" spans="7:30" ht="12.75">
      <c r="G37" s="55" t="s">
        <v>1</v>
      </c>
      <c r="H37" s="92" t="s">
        <v>1</v>
      </c>
      <c r="I37" s="149" t="s">
        <v>1</v>
      </c>
      <c r="M37" s="121"/>
      <c r="N37" s="1"/>
      <c r="O37" s="1"/>
      <c r="S37" s="55" t="s">
        <v>1</v>
      </c>
      <c r="T37" t="s">
        <v>1</v>
      </c>
      <c r="X37" s="1"/>
      <c r="Y37" s="25"/>
      <c r="Z37" s="25"/>
      <c r="AA37" s="25"/>
      <c r="AB37" s="25"/>
      <c r="AC37" s="25"/>
      <c r="AD37" s="25"/>
    </row>
    <row r="38" spans="1:30" ht="12.75">
      <c r="A38" s="159" t="s">
        <v>0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25"/>
      <c r="Z38" s="25"/>
      <c r="AA38" s="25"/>
      <c r="AB38" s="25"/>
      <c r="AC38" s="25"/>
      <c r="AD38" s="25"/>
    </row>
    <row r="39" spans="1:30" ht="12.75">
      <c r="A39" s="159" t="s">
        <v>168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25"/>
      <c r="Z39" s="25"/>
      <c r="AA39" s="25"/>
      <c r="AB39" s="25"/>
      <c r="AC39" s="25"/>
      <c r="AD39" s="25"/>
    </row>
    <row r="40" spans="1:30" ht="12.75">
      <c r="A40" s="159" t="s">
        <v>81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25"/>
      <c r="Z40" s="25"/>
      <c r="AA40" s="25"/>
      <c r="AB40" s="25"/>
      <c r="AC40" s="25"/>
      <c r="AD40" s="25"/>
    </row>
    <row r="41" spans="1:30" ht="12.75">
      <c r="A41" s="2"/>
      <c r="B41" s="2"/>
      <c r="C41" s="2"/>
      <c r="D41" s="2"/>
      <c r="E41" s="2"/>
      <c r="F41" s="3"/>
      <c r="G41" s="2"/>
      <c r="H41" s="12"/>
      <c r="I41" s="143" t="s">
        <v>1</v>
      </c>
      <c r="J41" s="2"/>
      <c r="K41" s="2"/>
      <c r="L41" s="2"/>
      <c r="M41" s="28"/>
      <c r="N41" s="28"/>
      <c r="O41" s="28"/>
      <c r="P41" s="2"/>
      <c r="Q41" s="2"/>
      <c r="R41" s="2"/>
      <c r="S41" s="2"/>
      <c r="T41" s="2"/>
      <c r="U41" s="2"/>
      <c r="V41" s="2"/>
      <c r="W41" s="2"/>
      <c r="X41" s="28"/>
      <c r="Y41" s="25"/>
      <c r="Z41" s="25"/>
      <c r="AA41" s="25"/>
      <c r="AB41" s="25"/>
      <c r="AC41" s="25"/>
      <c r="AD41" s="25"/>
    </row>
    <row r="42" spans="1:30" ht="12.75">
      <c r="A42" s="18" t="s">
        <v>48</v>
      </c>
      <c r="B42" s="18" t="s">
        <v>49</v>
      </c>
      <c r="C42" s="3" t="s">
        <v>50</v>
      </c>
      <c r="D42" s="3" t="s">
        <v>51</v>
      </c>
      <c r="E42" s="3" t="s">
        <v>52</v>
      </c>
      <c r="F42" s="2"/>
      <c r="G42" s="2"/>
      <c r="H42" s="122" t="s">
        <v>1</v>
      </c>
      <c r="I42" s="143"/>
      <c r="J42" s="18" t="s">
        <v>1</v>
      </c>
      <c r="K42" s="18"/>
      <c r="L42" s="14" t="s">
        <v>36</v>
      </c>
      <c r="M42" s="27" t="s">
        <v>47</v>
      </c>
      <c r="N42" s="75" t="s">
        <v>77</v>
      </c>
      <c r="O42" s="28"/>
      <c r="P42" s="2"/>
      <c r="Q42" s="2"/>
      <c r="R42" s="2"/>
      <c r="S42" s="2"/>
      <c r="T42" s="2"/>
      <c r="U42" s="2"/>
      <c r="V42" s="2"/>
      <c r="W42" s="2"/>
      <c r="X42" s="28"/>
      <c r="Y42" s="25"/>
      <c r="Z42" s="25"/>
      <c r="AA42" s="25"/>
      <c r="AB42" s="25"/>
      <c r="AC42" s="25"/>
      <c r="AD42" s="25"/>
    </row>
    <row r="43" spans="1:30" ht="12.75">
      <c r="A43" s="3"/>
      <c r="B43" s="18" t="s">
        <v>6</v>
      </c>
      <c r="C43" s="3"/>
      <c r="D43" s="3" t="s">
        <v>7</v>
      </c>
      <c r="E43" s="3"/>
      <c r="F43" s="2"/>
      <c r="G43" s="18" t="s">
        <v>3</v>
      </c>
      <c r="H43" s="10" t="s">
        <v>2</v>
      </c>
      <c r="I43" s="144" t="s">
        <v>3</v>
      </c>
      <c r="J43" s="10" t="s">
        <v>76</v>
      </c>
      <c r="K43" s="85" t="s">
        <v>35</v>
      </c>
      <c r="L43" s="14" t="s">
        <v>40</v>
      </c>
      <c r="M43" s="76" t="s">
        <v>76</v>
      </c>
      <c r="N43" s="75" t="s">
        <v>35</v>
      </c>
      <c r="O43" s="123"/>
      <c r="P43" s="2"/>
      <c r="Q43" s="2"/>
      <c r="R43" s="2"/>
      <c r="S43" s="18" t="s">
        <v>76</v>
      </c>
      <c r="T43" s="18" t="s">
        <v>35</v>
      </c>
      <c r="U43" s="18" t="s">
        <v>86</v>
      </c>
      <c r="V43" s="18" t="s">
        <v>84</v>
      </c>
      <c r="W43" s="18"/>
      <c r="X43" s="76" t="s">
        <v>74</v>
      </c>
      <c r="Y43" s="25"/>
      <c r="Z43" s="25"/>
      <c r="AA43" s="25"/>
      <c r="AB43" s="25"/>
      <c r="AC43" s="25"/>
      <c r="AD43" s="25"/>
    </row>
    <row r="44" spans="1:30" ht="12.75">
      <c r="A44" s="3"/>
      <c r="B44" s="3"/>
      <c r="C44" s="3"/>
      <c r="D44" s="3" t="s">
        <v>8</v>
      </c>
      <c r="E44" s="3"/>
      <c r="F44" s="18" t="s">
        <v>9</v>
      </c>
      <c r="G44" s="18" t="s">
        <v>4</v>
      </c>
      <c r="H44" s="10" t="s">
        <v>10</v>
      </c>
      <c r="I44" s="144" t="s">
        <v>5</v>
      </c>
      <c r="J44" s="10" t="s">
        <v>1</v>
      </c>
      <c r="K44" s="26"/>
      <c r="L44" s="12"/>
      <c r="M44" s="15"/>
      <c r="N44" s="16"/>
      <c r="O44" s="16"/>
      <c r="P44" s="2"/>
      <c r="Q44" s="2"/>
      <c r="R44" s="2"/>
      <c r="S44" s="2"/>
      <c r="T44" s="18"/>
      <c r="U44" s="18"/>
      <c r="V44" s="18" t="s">
        <v>85</v>
      </c>
      <c r="W44" s="18"/>
      <c r="X44" s="76"/>
      <c r="Y44" s="25"/>
      <c r="Z44" s="25"/>
      <c r="AA44" s="25"/>
      <c r="AB44" s="25"/>
      <c r="AC44" s="25"/>
      <c r="AD44" s="25"/>
    </row>
    <row r="45" spans="1:30" ht="12.75">
      <c r="A45" s="3"/>
      <c r="B45" s="3"/>
      <c r="C45" s="3"/>
      <c r="D45" s="3" t="s">
        <v>11</v>
      </c>
      <c r="E45" s="3"/>
      <c r="F45" s="2"/>
      <c r="G45" s="18" t="s">
        <v>1</v>
      </c>
      <c r="H45" s="10" t="s">
        <v>1</v>
      </c>
      <c r="I45" s="145" t="s">
        <v>1</v>
      </c>
      <c r="J45" s="14" t="s">
        <v>1</v>
      </c>
      <c r="K45" s="14" t="s">
        <v>1</v>
      </c>
      <c r="L45" s="12"/>
      <c r="M45" s="16"/>
      <c r="N45" s="16"/>
      <c r="O45" s="16"/>
      <c r="P45" s="2"/>
      <c r="Q45" s="2"/>
      <c r="R45" s="2"/>
      <c r="S45" s="2"/>
      <c r="T45" s="2"/>
      <c r="U45" s="2"/>
      <c r="V45" s="2"/>
      <c r="W45" s="2"/>
      <c r="X45" s="28"/>
      <c r="Y45" s="25"/>
      <c r="Z45" s="25"/>
      <c r="AA45" s="25"/>
      <c r="AB45" s="25"/>
      <c r="AC45" s="25"/>
      <c r="AD45" s="25"/>
    </row>
    <row r="46" spans="1:30" ht="12.75">
      <c r="A46" s="2"/>
      <c r="B46" s="2"/>
      <c r="C46" s="2"/>
      <c r="D46" s="2"/>
      <c r="E46" s="2"/>
      <c r="F46" s="2"/>
      <c r="G46" s="9" t="s">
        <v>1</v>
      </c>
      <c r="H46" s="16" t="s">
        <v>1</v>
      </c>
      <c r="I46" s="150" t="s">
        <v>1</v>
      </c>
      <c r="J46" s="15" t="s">
        <v>1</v>
      </c>
      <c r="K46" s="16" t="s">
        <v>1</v>
      </c>
      <c r="L46" s="12"/>
      <c r="M46" s="16"/>
      <c r="N46" s="16"/>
      <c r="O46" s="15"/>
      <c r="P46" s="2"/>
      <c r="Q46" s="2"/>
      <c r="R46" s="2"/>
      <c r="S46" s="2"/>
      <c r="T46" s="2"/>
      <c r="U46" s="2"/>
      <c r="V46" s="2"/>
      <c r="W46" s="2"/>
      <c r="X46" s="28"/>
      <c r="Y46" s="25"/>
      <c r="Z46" s="25"/>
      <c r="AA46" s="25"/>
      <c r="AB46" s="25"/>
      <c r="AC46" s="25"/>
      <c r="AD46" s="25"/>
    </row>
    <row r="47" spans="1:30" ht="12.75">
      <c r="A47" s="2" t="s">
        <v>12</v>
      </c>
      <c r="B47" s="2"/>
      <c r="C47" s="2"/>
      <c r="D47" s="2"/>
      <c r="E47" s="2"/>
      <c r="F47" s="3" t="s">
        <v>53</v>
      </c>
      <c r="G47" s="30">
        <f>+G48+G58+G61</f>
        <v>2135610000</v>
      </c>
      <c r="H47" s="31">
        <f>SUM(H48+H58+H61)</f>
        <v>0</v>
      </c>
      <c r="I47" s="151">
        <f>+G47+H47</f>
        <v>2135610000</v>
      </c>
      <c r="J47" s="31">
        <f>SUM(J48+J58+J61)</f>
        <v>1370605803</v>
      </c>
      <c r="K47" s="31">
        <f>SUM(K48+K58+K61)</f>
        <v>1370605803</v>
      </c>
      <c r="L47" s="11">
        <f aca="true" t="shared" si="7" ref="L47:L62">+I47-J47</f>
        <v>765004197</v>
      </c>
      <c r="M47" s="33">
        <f aca="true" t="shared" si="8" ref="M47:M62">+J47/I47*100</f>
        <v>64.17865635579531</v>
      </c>
      <c r="N47" s="33">
        <f>+K47/I47*100</f>
        <v>64.17865635579531</v>
      </c>
      <c r="O47" s="33"/>
      <c r="P47" s="2"/>
      <c r="Q47" s="2"/>
      <c r="R47" s="2"/>
      <c r="S47" s="30">
        <f>+S48+S58+S61</f>
        <v>1779694302</v>
      </c>
      <c r="T47" s="30">
        <f>SUM(T48+T58+T61)</f>
        <v>2135610000</v>
      </c>
      <c r="U47" s="30">
        <f>SUM(U48+U58+U61)</f>
        <v>2125072000</v>
      </c>
      <c r="V47" s="32">
        <f aca="true" t="shared" si="9" ref="V47:V62">+I47-T47</f>
        <v>0</v>
      </c>
      <c r="W47" s="2"/>
      <c r="X47" s="28">
        <f aca="true" t="shared" si="10" ref="X47:X59">+T47/I47*100</f>
        <v>100</v>
      </c>
      <c r="Y47" s="25"/>
      <c r="Z47" s="25"/>
      <c r="AA47" s="25"/>
      <c r="AB47" s="25"/>
      <c r="AC47" s="25"/>
      <c r="AD47" s="25"/>
    </row>
    <row r="48" spans="1:30" ht="12.75">
      <c r="A48" s="2" t="s">
        <v>12</v>
      </c>
      <c r="B48" s="2">
        <v>1</v>
      </c>
      <c r="C48" s="2">
        <v>1</v>
      </c>
      <c r="D48" s="2">
        <v>0</v>
      </c>
      <c r="E48" s="2">
        <v>0</v>
      </c>
      <c r="F48" s="3" t="s">
        <v>13</v>
      </c>
      <c r="G48" s="30">
        <f>+G49+G54+G55+G56+G57</f>
        <v>2101005000</v>
      </c>
      <c r="H48" s="31">
        <f>+H49+H54+H55+H56+H57</f>
        <v>0</v>
      </c>
      <c r="I48" s="151">
        <f>+I49+I54+I55+I56+I57</f>
        <v>2101005000</v>
      </c>
      <c r="J48" s="30">
        <f>+J49+J54+J55+J56+J57</f>
        <v>1346538803</v>
      </c>
      <c r="K48" s="30">
        <f>+K49+K54+K55+K56+K57</f>
        <v>1346538803</v>
      </c>
      <c r="L48" s="11">
        <f t="shared" si="7"/>
        <v>754466197</v>
      </c>
      <c r="M48" s="33">
        <f t="shared" si="8"/>
        <v>64.0902236310718</v>
      </c>
      <c r="N48" s="33">
        <f aca="true" t="shared" si="11" ref="N48:N62">+K48/I48*100</f>
        <v>64.0902236310718</v>
      </c>
      <c r="O48" s="33"/>
      <c r="P48" s="2"/>
      <c r="Q48" s="2"/>
      <c r="R48" s="2"/>
      <c r="S48" s="30">
        <f>+S49+S54+S55+S56+S57</f>
        <v>1755627302</v>
      </c>
      <c r="T48" s="31">
        <f>+T49+T54+T55+T56+T57</f>
        <v>2101005000</v>
      </c>
      <c r="U48" s="30">
        <f>+U49+U54+U55+U56+U57</f>
        <v>2101005000</v>
      </c>
      <c r="V48" s="32">
        <f t="shared" si="9"/>
        <v>0</v>
      </c>
      <c r="W48" s="2"/>
      <c r="X48" s="28">
        <f t="shared" si="10"/>
        <v>100</v>
      </c>
      <c r="Y48" s="25"/>
      <c r="Z48" s="25"/>
      <c r="AA48" s="25"/>
      <c r="AB48" s="25"/>
      <c r="AC48" s="25"/>
      <c r="AD48" s="25"/>
    </row>
    <row r="49" spans="1:30" ht="12.75">
      <c r="A49" s="2" t="s">
        <v>12</v>
      </c>
      <c r="B49" s="2">
        <v>1</v>
      </c>
      <c r="C49" s="2">
        <v>1</v>
      </c>
      <c r="D49" s="2">
        <v>1</v>
      </c>
      <c r="E49" s="2">
        <v>0</v>
      </c>
      <c r="F49" s="8" t="s">
        <v>14</v>
      </c>
      <c r="G49" s="32">
        <f>SUM(G50:G53)</f>
        <v>1764317000</v>
      </c>
      <c r="H49" s="11">
        <f>SUM(H50:H53)</f>
        <v>0</v>
      </c>
      <c r="I49" s="152">
        <f>SUM(I50:I53)</f>
        <v>1764317000</v>
      </c>
      <c r="J49" s="11">
        <f>SUM(J50:J53)</f>
        <v>1097699750</v>
      </c>
      <c r="K49" s="11">
        <f>SUM(K50:K53)</f>
        <v>1097699750</v>
      </c>
      <c r="L49" s="11">
        <f t="shared" si="7"/>
        <v>666617250</v>
      </c>
      <c r="M49" s="33">
        <f t="shared" si="8"/>
        <v>62.216696319312234</v>
      </c>
      <c r="N49" s="33">
        <f t="shared" si="11"/>
        <v>62.216696319312234</v>
      </c>
      <c r="O49" s="15"/>
      <c r="P49" s="2"/>
      <c r="Q49" s="2"/>
      <c r="R49" s="2"/>
      <c r="S49" s="32">
        <f>SUM(S50:S53)</f>
        <v>1418939302</v>
      </c>
      <c r="T49" s="11">
        <f>SUM(T50:T53)</f>
        <v>1764317000</v>
      </c>
      <c r="U49" s="32">
        <f>+T49</f>
        <v>1764317000</v>
      </c>
      <c r="V49" s="32">
        <f t="shared" si="9"/>
        <v>0</v>
      </c>
      <c r="W49" s="2"/>
      <c r="X49" s="28">
        <f t="shared" si="10"/>
        <v>100</v>
      </c>
      <c r="Y49" s="25"/>
      <c r="Z49" s="25"/>
      <c r="AA49" s="25"/>
      <c r="AB49" s="25"/>
      <c r="AC49" s="25"/>
      <c r="AD49" s="25"/>
    </row>
    <row r="50" spans="1:30" ht="12.75">
      <c r="A50" s="2" t="s">
        <v>12</v>
      </c>
      <c r="B50" s="2">
        <v>1</v>
      </c>
      <c r="C50" s="2">
        <v>1</v>
      </c>
      <c r="D50" s="2">
        <v>1</v>
      </c>
      <c r="E50" s="2">
        <v>1</v>
      </c>
      <c r="F50" s="2" t="s">
        <v>15</v>
      </c>
      <c r="G50" s="32">
        <v>1381203000</v>
      </c>
      <c r="H50" s="11">
        <v>0</v>
      </c>
      <c r="I50" s="152">
        <f>+G50+H50</f>
        <v>1381203000</v>
      </c>
      <c r="J50" s="31">
        <v>910042416</v>
      </c>
      <c r="K50" s="31">
        <v>910042416</v>
      </c>
      <c r="L50" s="11">
        <f t="shared" si="7"/>
        <v>471160584</v>
      </c>
      <c r="M50" s="33">
        <f t="shared" si="8"/>
        <v>65.88766575224642</v>
      </c>
      <c r="N50" s="33">
        <f t="shared" si="11"/>
        <v>65.88766575224642</v>
      </c>
      <c r="O50" s="15"/>
      <c r="P50" s="2"/>
      <c r="Q50" s="2"/>
      <c r="R50" s="2"/>
      <c r="S50" s="32">
        <v>1186166487</v>
      </c>
      <c r="T50" s="32">
        <f aca="true" t="shared" si="12" ref="T50:T57">+I50</f>
        <v>1381203000</v>
      </c>
      <c r="U50" s="32">
        <f aca="true" t="shared" si="13" ref="U50:U57">+T50</f>
        <v>1381203000</v>
      </c>
      <c r="V50" s="32">
        <f t="shared" si="9"/>
        <v>0</v>
      </c>
      <c r="W50" s="2"/>
      <c r="X50" s="28">
        <f t="shared" si="10"/>
        <v>100</v>
      </c>
      <c r="Y50" s="25"/>
      <c r="Z50" s="25"/>
      <c r="AA50" s="25"/>
      <c r="AB50" s="25"/>
      <c r="AC50" s="25"/>
      <c r="AD50" s="25"/>
    </row>
    <row r="51" spans="1:30" ht="12.75">
      <c r="A51" s="2" t="s">
        <v>12</v>
      </c>
      <c r="B51" s="2">
        <v>1</v>
      </c>
      <c r="C51" s="2">
        <v>1</v>
      </c>
      <c r="D51" s="2">
        <v>9</v>
      </c>
      <c r="E51" s="2">
        <v>1</v>
      </c>
      <c r="F51" s="2" t="s">
        <v>54</v>
      </c>
      <c r="G51" s="32">
        <v>1699000</v>
      </c>
      <c r="H51" s="11">
        <v>0</v>
      </c>
      <c r="I51" s="152">
        <f aca="true" t="shared" si="14" ref="I51:I58">+G51+H51</f>
        <v>1699000</v>
      </c>
      <c r="J51" s="31">
        <v>805455</v>
      </c>
      <c r="K51" s="31">
        <v>805455</v>
      </c>
      <c r="L51" s="11">
        <f t="shared" si="7"/>
        <v>893545</v>
      </c>
      <c r="M51" s="33">
        <f t="shared" si="8"/>
        <v>47.40759270158917</v>
      </c>
      <c r="N51" s="33">
        <f t="shared" si="11"/>
        <v>47.40759270158917</v>
      </c>
      <c r="O51" s="15"/>
      <c r="P51" s="2"/>
      <c r="Q51" s="2"/>
      <c r="R51" s="2"/>
      <c r="S51" s="32">
        <v>1068815</v>
      </c>
      <c r="T51" s="32">
        <f t="shared" si="12"/>
        <v>1699000</v>
      </c>
      <c r="U51" s="32">
        <f t="shared" si="13"/>
        <v>1699000</v>
      </c>
      <c r="V51" s="32">
        <f t="shared" si="9"/>
        <v>0</v>
      </c>
      <c r="W51" s="2"/>
      <c r="X51" s="28">
        <f t="shared" si="10"/>
        <v>100</v>
      </c>
      <c r="Y51" s="25"/>
      <c r="Z51" s="25"/>
      <c r="AA51" s="25"/>
      <c r="AB51" s="25"/>
      <c r="AC51" s="25"/>
      <c r="AD51" s="25"/>
    </row>
    <row r="52" spans="1:30" ht="12.75">
      <c r="A52" s="2" t="s">
        <v>12</v>
      </c>
      <c r="B52" s="2">
        <v>1</v>
      </c>
      <c r="C52" s="2">
        <v>1</v>
      </c>
      <c r="D52" s="2">
        <v>4</v>
      </c>
      <c r="E52" s="2">
        <v>2</v>
      </c>
      <c r="F52" s="2" t="s">
        <v>16</v>
      </c>
      <c r="G52" s="32">
        <v>135626000</v>
      </c>
      <c r="H52" s="11">
        <v>0</v>
      </c>
      <c r="I52" s="152">
        <f t="shared" si="14"/>
        <v>135626000</v>
      </c>
      <c r="J52" s="31">
        <v>97076221</v>
      </c>
      <c r="K52" s="31">
        <v>97076221</v>
      </c>
      <c r="L52" s="11">
        <f t="shared" si="7"/>
        <v>38549779</v>
      </c>
      <c r="M52" s="33">
        <f t="shared" si="8"/>
        <v>71.57640939052983</v>
      </c>
      <c r="N52" s="33">
        <f t="shared" si="11"/>
        <v>71.57640939052983</v>
      </c>
      <c r="O52" s="15"/>
      <c r="P52" s="2"/>
      <c r="Q52" s="2"/>
      <c r="R52" s="2"/>
      <c r="S52" s="88">
        <f>+I52</f>
        <v>135626000</v>
      </c>
      <c r="T52" s="32">
        <f t="shared" si="12"/>
        <v>135626000</v>
      </c>
      <c r="U52" s="32">
        <f t="shared" si="13"/>
        <v>135626000</v>
      </c>
      <c r="V52" s="32">
        <f t="shared" si="9"/>
        <v>0</v>
      </c>
      <c r="W52" s="2"/>
      <c r="X52" s="28">
        <f t="shared" si="10"/>
        <v>100</v>
      </c>
      <c r="Y52" s="25"/>
      <c r="Z52" s="25"/>
      <c r="AA52" s="25"/>
      <c r="AB52" s="25"/>
      <c r="AC52" s="25"/>
      <c r="AD52" s="25"/>
    </row>
    <row r="53" spans="1:30" ht="12.75">
      <c r="A53" s="2" t="s">
        <v>12</v>
      </c>
      <c r="B53" s="2">
        <v>1</v>
      </c>
      <c r="C53" s="2">
        <v>1</v>
      </c>
      <c r="D53" s="2">
        <v>5</v>
      </c>
      <c r="E53" s="2">
        <v>0</v>
      </c>
      <c r="F53" s="2" t="s">
        <v>17</v>
      </c>
      <c r="G53" s="32">
        <v>245789000</v>
      </c>
      <c r="H53" s="11">
        <v>0</v>
      </c>
      <c r="I53" s="152">
        <f t="shared" si="14"/>
        <v>245789000</v>
      </c>
      <c r="J53" s="31">
        <f>11820000+57319500+18076500+2559658</f>
        <v>89775658</v>
      </c>
      <c r="K53" s="31">
        <f>11820000+57319500+18076500+2559658</f>
        <v>89775658</v>
      </c>
      <c r="L53" s="11">
        <f t="shared" si="7"/>
        <v>156013342</v>
      </c>
      <c r="M53" s="33">
        <f t="shared" si="8"/>
        <v>36.52549870010456</v>
      </c>
      <c r="N53" s="33">
        <f t="shared" si="11"/>
        <v>36.52549870010456</v>
      </c>
      <c r="O53" s="15"/>
      <c r="P53" s="2"/>
      <c r="Q53" s="2"/>
      <c r="R53" s="2"/>
      <c r="S53" s="32">
        <f>13000000+62000000+21078000</f>
        <v>96078000</v>
      </c>
      <c r="T53" s="32">
        <f t="shared" si="12"/>
        <v>245789000</v>
      </c>
      <c r="U53" s="32">
        <f t="shared" si="13"/>
        <v>245789000</v>
      </c>
      <c r="V53" s="32">
        <f t="shared" si="9"/>
        <v>0</v>
      </c>
      <c r="W53" s="2"/>
      <c r="X53" s="28">
        <f t="shared" si="10"/>
        <v>100</v>
      </c>
      <c r="Y53" s="25"/>
      <c r="Z53" s="25"/>
      <c r="AA53" s="25"/>
      <c r="AB53" s="25"/>
      <c r="AC53" s="25"/>
      <c r="AD53" s="25"/>
    </row>
    <row r="54" spans="1:30" ht="12.75">
      <c r="A54" s="2" t="s">
        <v>12</v>
      </c>
      <c r="B54" s="2">
        <v>1</v>
      </c>
      <c r="C54" s="2">
        <v>5</v>
      </c>
      <c r="D54" s="2">
        <v>0</v>
      </c>
      <c r="E54" s="2">
        <v>1</v>
      </c>
      <c r="F54" s="2" t="s">
        <v>18</v>
      </c>
      <c r="G54" s="32">
        <v>87565000</v>
      </c>
      <c r="H54" s="11">
        <v>0</v>
      </c>
      <c r="I54" s="152">
        <f t="shared" si="14"/>
        <v>87565000</v>
      </c>
      <c r="J54" s="31">
        <f>+I54</f>
        <v>87565000</v>
      </c>
      <c r="K54" s="31">
        <f>+J54</f>
        <v>87565000</v>
      </c>
      <c r="L54" s="11">
        <f t="shared" si="7"/>
        <v>0</v>
      </c>
      <c r="M54" s="33">
        <f t="shared" si="8"/>
        <v>100</v>
      </c>
      <c r="N54" s="33">
        <f t="shared" si="11"/>
        <v>100</v>
      </c>
      <c r="O54" s="15"/>
      <c r="P54" s="2"/>
      <c r="Q54" s="2"/>
      <c r="R54" s="2"/>
      <c r="S54" s="32">
        <f>+I54</f>
        <v>87565000</v>
      </c>
      <c r="T54" s="32">
        <f t="shared" si="12"/>
        <v>87565000</v>
      </c>
      <c r="U54" s="32">
        <f>+T54</f>
        <v>87565000</v>
      </c>
      <c r="V54" s="32">
        <f t="shared" si="9"/>
        <v>0</v>
      </c>
      <c r="W54" s="2"/>
      <c r="X54" s="28">
        <f t="shared" si="10"/>
        <v>100</v>
      </c>
      <c r="Y54" s="25"/>
      <c r="Z54" s="25"/>
      <c r="AA54" s="25"/>
      <c r="AB54" s="25"/>
      <c r="AC54" s="25"/>
      <c r="AD54" s="25"/>
    </row>
    <row r="55" spans="1:30" ht="12.75">
      <c r="A55" s="2" t="s">
        <v>12</v>
      </c>
      <c r="B55" s="2">
        <v>1</v>
      </c>
      <c r="C55" s="2">
        <v>5</v>
      </c>
      <c r="D55" s="2">
        <v>0</v>
      </c>
      <c r="E55" s="2">
        <v>2</v>
      </c>
      <c r="F55" s="2" t="s">
        <v>19</v>
      </c>
      <c r="G55" s="4">
        <f>249123000-27345600-27345600</f>
        <v>194431800</v>
      </c>
      <c r="H55" s="11">
        <v>0</v>
      </c>
      <c r="I55" s="152">
        <f t="shared" si="14"/>
        <v>194431800</v>
      </c>
      <c r="J55" s="31">
        <v>121440353</v>
      </c>
      <c r="K55" s="31">
        <v>121440353</v>
      </c>
      <c r="L55" s="11">
        <f t="shared" si="7"/>
        <v>72991447</v>
      </c>
      <c r="M55" s="33">
        <f t="shared" si="8"/>
        <v>62.45910031178028</v>
      </c>
      <c r="N55" s="33">
        <f t="shared" si="11"/>
        <v>62.45910031178028</v>
      </c>
      <c r="O55" s="15"/>
      <c r="P55" s="2"/>
      <c r="Q55" s="2"/>
      <c r="R55" s="2"/>
      <c r="S55" s="4">
        <f>+I55</f>
        <v>194431800</v>
      </c>
      <c r="T55" s="32">
        <f t="shared" si="12"/>
        <v>194431800</v>
      </c>
      <c r="U55" s="32">
        <f t="shared" si="13"/>
        <v>194431800</v>
      </c>
      <c r="V55" s="32">
        <f t="shared" si="9"/>
        <v>0</v>
      </c>
      <c r="W55" s="2"/>
      <c r="X55" s="28">
        <f t="shared" si="10"/>
        <v>100</v>
      </c>
      <c r="Y55" s="25"/>
      <c r="Z55" s="25"/>
      <c r="AA55" s="25"/>
      <c r="AB55" s="25"/>
      <c r="AC55" s="25"/>
      <c r="AD55" s="25"/>
    </row>
    <row r="56" spans="1:30" ht="12.75">
      <c r="A56" s="2" t="s">
        <v>12</v>
      </c>
      <c r="B56" s="2">
        <v>1</v>
      </c>
      <c r="C56" s="2">
        <v>5</v>
      </c>
      <c r="D56" s="2">
        <v>0</v>
      </c>
      <c r="E56" s="2">
        <v>6</v>
      </c>
      <c r="F56" s="2" t="s">
        <v>37</v>
      </c>
      <c r="G56" s="32">
        <v>27345600</v>
      </c>
      <c r="H56" s="11">
        <v>0</v>
      </c>
      <c r="I56" s="152">
        <f t="shared" si="14"/>
        <v>27345600</v>
      </c>
      <c r="J56" s="31">
        <v>22149500</v>
      </c>
      <c r="K56" s="31">
        <v>22149500</v>
      </c>
      <c r="L56" s="11">
        <f t="shared" si="7"/>
        <v>5196100</v>
      </c>
      <c r="M56" s="33">
        <f t="shared" si="8"/>
        <v>80.99840559358726</v>
      </c>
      <c r="N56" s="33">
        <f t="shared" si="11"/>
        <v>80.99840559358726</v>
      </c>
      <c r="O56" s="15"/>
      <c r="P56" s="2"/>
      <c r="Q56" s="2"/>
      <c r="R56" s="2"/>
      <c r="S56" s="32">
        <f>+I56</f>
        <v>27345600</v>
      </c>
      <c r="T56" s="32">
        <f t="shared" si="12"/>
        <v>27345600</v>
      </c>
      <c r="U56" s="32">
        <f t="shared" si="13"/>
        <v>27345600</v>
      </c>
      <c r="V56" s="32">
        <f t="shared" si="9"/>
        <v>0</v>
      </c>
      <c r="W56" s="2"/>
      <c r="X56" s="28">
        <f t="shared" si="10"/>
        <v>100</v>
      </c>
      <c r="Y56" s="25"/>
      <c r="Z56" s="25"/>
      <c r="AA56" s="25"/>
      <c r="AB56" s="25"/>
      <c r="AC56" s="25"/>
      <c r="AD56" s="25"/>
    </row>
    <row r="57" spans="1:30" ht="12.75">
      <c r="A57" s="2" t="s">
        <v>12</v>
      </c>
      <c r="B57" s="2">
        <v>1</v>
      </c>
      <c r="C57" s="2">
        <v>5</v>
      </c>
      <c r="D57" s="2">
        <v>0</v>
      </c>
      <c r="E57" s="2">
        <v>7</v>
      </c>
      <c r="F57" s="2" t="s">
        <v>38</v>
      </c>
      <c r="G57" s="32">
        <v>27345600</v>
      </c>
      <c r="H57" s="11">
        <v>0</v>
      </c>
      <c r="I57" s="152">
        <f t="shared" si="14"/>
        <v>27345600</v>
      </c>
      <c r="J57" s="31">
        <v>17684200</v>
      </c>
      <c r="K57" s="31">
        <v>17684200</v>
      </c>
      <c r="L57" s="11">
        <f t="shared" si="7"/>
        <v>9661400</v>
      </c>
      <c r="M57" s="33">
        <f t="shared" si="8"/>
        <v>64.6692703762214</v>
      </c>
      <c r="N57" s="33">
        <f t="shared" si="11"/>
        <v>64.6692703762214</v>
      </c>
      <c r="O57" s="15"/>
      <c r="P57" s="2"/>
      <c r="Q57" s="2"/>
      <c r="R57" s="2"/>
      <c r="S57" s="32">
        <f>+I57</f>
        <v>27345600</v>
      </c>
      <c r="T57" s="32">
        <f t="shared" si="12"/>
        <v>27345600</v>
      </c>
      <c r="U57" s="32">
        <f t="shared" si="13"/>
        <v>27345600</v>
      </c>
      <c r="V57" s="32">
        <f t="shared" si="9"/>
        <v>0</v>
      </c>
      <c r="W57" s="2"/>
      <c r="X57" s="28">
        <f t="shared" si="10"/>
        <v>100</v>
      </c>
      <c r="Y57" s="25"/>
      <c r="Z57" s="25"/>
      <c r="AA57" s="25"/>
      <c r="AB57" s="25"/>
      <c r="AC57" s="25"/>
      <c r="AD57" s="25"/>
    </row>
    <row r="58" spans="1:30" ht="12.75">
      <c r="A58" s="2" t="s">
        <v>12</v>
      </c>
      <c r="B58" s="2">
        <v>2</v>
      </c>
      <c r="C58" s="2">
        <v>0</v>
      </c>
      <c r="D58" s="2">
        <v>0</v>
      </c>
      <c r="E58" s="2">
        <v>0</v>
      </c>
      <c r="F58" s="3" t="s">
        <v>20</v>
      </c>
      <c r="G58" s="30">
        <f>SUM(G59:G60)</f>
        <v>24067000</v>
      </c>
      <c r="H58" s="31">
        <f>SUM(H59:H60)</f>
        <v>0</v>
      </c>
      <c r="I58" s="151">
        <f t="shared" si="14"/>
        <v>24067000</v>
      </c>
      <c r="J58" s="31">
        <f>+J59+J60</f>
        <v>24067000</v>
      </c>
      <c r="K58" s="31">
        <f>+K59+K60</f>
        <v>24067000</v>
      </c>
      <c r="L58" s="11">
        <f t="shared" si="7"/>
        <v>0</v>
      </c>
      <c r="M58" s="33">
        <f t="shared" si="8"/>
        <v>100</v>
      </c>
      <c r="N58" s="33">
        <f t="shared" si="11"/>
        <v>100</v>
      </c>
      <c r="O58" s="33"/>
      <c r="P58" s="2"/>
      <c r="Q58" s="2"/>
      <c r="R58" s="2"/>
      <c r="S58" s="30">
        <f>SUM(S59:S60)</f>
        <v>24067000</v>
      </c>
      <c r="T58" s="30">
        <f>SUM(T59:T60)</f>
        <v>24067000</v>
      </c>
      <c r="U58" s="30">
        <f>SUM(U59:U60)</f>
        <v>24067000</v>
      </c>
      <c r="V58" s="32">
        <f t="shared" si="9"/>
        <v>0</v>
      </c>
      <c r="W58" s="2"/>
      <c r="X58" s="28">
        <f t="shared" si="10"/>
        <v>100</v>
      </c>
      <c r="Y58" s="25"/>
      <c r="Z58" s="25"/>
      <c r="AA58" s="25"/>
      <c r="AB58" s="25"/>
      <c r="AC58" s="25"/>
      <c r="AD58" s="25"/>
    </row>
    <row r="59" spans="1:30" ht="12.75">
      <c r="A59" s="2" t="s">
        <v>12</v>
      </c>
      <c r="B59" s="2">
        <v>2</v>
      </c>
      <c r="C59" s="2">
        <v>0</v>
      </c>
      <c r="D59" s="2">
        <v>4</v>
      </c>
      <c r="E59" s="2">
        <v>0</v>
      </c>
      <c r="F59" s="2" t="s">
        <v>21</v>
      </c>
      <c r="G59" s="32">
        <v>22601000</v>
      </c>
      <c r="H59" s="11">
        <v>0</v>
      </c>
      <c r="I59" s="152">
        <f>+G59+H59</f>
        <v>22601000</v>
      </c>
      <c r="J59" s="31">
        <f>+I59</f>
        <v>22601000</v>
      </c>
      <c r="K59" s="31">
        <f>+J59</f>
        <v>22601000</v>
      </c>
      <c r="L59" s="11">
        <f t="shared" si="7"/>
        <v>0</v>
      </c>
      <c r="M59" s="33">
        <f t="shared" si="8"/>
        <v>100</v>
      </c>
      <c r="N59" s="33">
        <f t="shared" si="11"/>
        <v>100</v>
      </c>
      <c r="O59" s="15"/>
      <c r="P59" s="2"/>
      <c r="Q59" s="2"/>
      <c r="R59" s="2"/>
      <c r="S59" s="32">
        <f>+I59</f>
        <v>22601000</v>
      </c>
      <c r="T59" s="32">
        <f>+I59</f>
        <v>22601000</v>
      </c>
      <c r="U59" s="32">
        <f>+T59</f>
        <v>22601000</v>
      </c>
      <c r="V59" s="32">
        <f t="shared" si="9"/>
        <v>0</v>
      </c>
      <c r="W59" s="2"/>
      <c r="X59" s="28">
        <f t="shared" si="10"/>
        <v>100</v>
      </c>
      <c r="Y59" s="25"/>
      <c r="Z59" s="25"/>
      <c r="AA59" s="25"/>
      <c r="AB59" s="25"/>
      <c r="AC59" s="25"/>
      <c r="AD59" s="25"/>
    </row>
    <row r="60" spans="1:30" ht="12.75">
      <c r="A60" s="2" t="s">
        <v>12</v>
      </c>
      <c r="B60" s="2">
        <v>2</v>
      </c>
      <c r="C60" s="2">
        <v>0</v>
      </c>
      <c r="D60" s="2">
        <v>3</v>
      </c>
      <c r="E60" s="2">
        <v>50</v>
      </c>
      <c r="F60" s="2" t="s">
        <v>22</v>
      </c>
      <c r="G60" s="32">
        <v>1466000</v>
      </c>
      <c r="H60" s="11">
        <v>0</v>
      </c>
      <c r="I60" s="152">
        <f>+G60+H60</f>
        <v>1466000</v>
      </c>
      <c r="J60" s="31">
        <f>+I60</f>
        <v>1466000</v>
      </c>
      <c r="K60" s="31">
        <f>+J60</f>
        <v>1466000</v>
      </c>
      <c r="L60" s="11">
        <f t="shared" si="7"/>
        <v>0</v>
      </c>
      <c r="M60" s="33">
        <f t="shared" si="8"/>
        <v>100</v>
      </c>
      <c r="N60" s="33">
        <f t="shared" si="11"/>
        <v>100</v>
      </c>
      <c r="O60" s="15"/>
      <c r="P60" s="2"/>
      <c r="Q60" s="2"/>
      <c r="R60" s="2"/>
      <c r="S60" s="32">
        <f>+I60</f>
        <v>1466000</v>
      </c>
      <c r="T60" s="32">
        <f>+I60</f>
        <v>1466000</v>
      </c>
      <c r="U60" s="32">
        <f>+T60</f>
        <v>1466000</v>
      </c>
      <c r="V60" s="32">
        <f t="shared" si="9"/>
        <v>0</v>
      </c>
      <c r="W60" s="2"/>
      <c r="X60" s="28">
        <v>0</v>
      </c>
      <c r="Y60" s="25"/>
      <c r="Z60" s="25"/>
      <c r="AA60" s="25"/>
      <c r="AB60" s="25"/>
      <c r="AC60" s="25"/>
      <c r="AD60" s="25"/>
    </row>
    <row r="61" spans="1:30" ht="12.75">
      <c r="A61" s="2" t="s">
        <v>12</v>
      </c>
      <c r="B61" s="2">
        <v>3</v>
      </c>
      <c r="C61" s="2">
        <v>2</v>
      </c>
      <c r="D61" s="2">
        <v>1</v>
      </c>
      <c r="E61" s="2">
        <v>1</v>
      </c>
      <c r="F61" s="2" t="s">
        <v>23</v>
      </c>
      <c r="G61" s="32">
        <f>+G62</f>
        <v>10538000</v>
      </c>
      <c r="H61" s="11">
        <f>+H62</f>
        <v>0</v>
      </c>
      <c r="I61" s="152">
        <f>+G61+H61</f>
        <v>10538000</v>
      </c>
      <c r="J61" s="31">
        <f>+J62</f>
        <v>0</v>
      </c>
      <c r="K61" s="31">
        <f>+K62</f>
        <v>0</v>
      </c>
      <c r="L61" s="11">
        <f t="shared" si="7"/>
        <v>10538000</v>
      </c>
      <c r="M61" s="33">
        <f t="shared" si="8"/>
        <v>0</v>
      </c>
      <c r="N61" s="33">
        <f t="shared" si="11"/>
        <v>0</v>
      </c>
      <c r="O61" s="15"/>
      <c r="P61" s="2"/>
      <c r="Q61" s="2"/>
      <c r="R61" s="2"/>
      <c r="S61" s="32">
        <f>+S62</f>
        <v>0</v>
      </c>
      <c r="T61" s="32">
        <f>+T62</f>
        <v>10538000</v>
      </c>
      <c r="U61" s="32">
        <f>+U62</f>
        <v>0</v>
      </c>
      <c r="V61" s="32">
        <f t="shared" si="9"/>
        <v>0</v>
      </c>
      <c r="W61" s="2"/>
      <c r="X61" s="28">
        <v>0</v>
      </c>
      <c r="Y61" s="25"/>
      <c r="Z61" s="25"/>
      <c r="AA61" s="25"/>
      <c r="AB61" s="25"/>
      <c r="AC61" s="25"/>
      <c r="AD61" s="25"/>
    </row>
    <row r="62" spans="1:30" ht="12.75">
      <c r="A62" s="2" t="s">
        <v>12</v>
      </c>
      <c r="B62" s="2">
        <v>3</v>
      </c>
      <c r="C62" s="2">
        <v>2</v>
      </c>
      <c r="D62" s="2">
        <v>1</v>
      </c>
      <c r="E62" s="2">
        <v>1</v>
      </c>
      <c r="F62" s="2" t="s">
        <v>23</v>
      </c>
      <c r="G62" s="32">
        <v>10538000</v>
      </c>
      <c r="H62" s="11">
        <v>0</v>
      </c>
      <c r="I62" s="152">
        <f>+G62+H62</f>
        <v>10538000</v>
      </c>
      <c r="J62" s="31">
        <v>0</v>
      </c>
      <c r="K62" s="31">
        <v>0</v>
      </c>
      <c r="L62" s="11">
        <f t="shared" si="7"/>
        <v>10538000</v>
      </c>
      <c r="M62" s="33">
        <f t="shared" si="8"/>
        <v>0</v>
      </c>
      <c r="N62" s="33">
        <f t="shared" si="11"/>
        <v>0</v>
      </c>
      <c r="O62" s="15"/>
      <c r="P62" s="2"/>
      <c r="Q62" s="2"/>
      <c r="R62" s="2"/>
      <c r="S62" s="32">
        <v>0</v>
      </c>
      <c r="T62" s="32">
        <f>+I62</f>
        <v>10538000</v>
      </c>
      <c r="U62" s="32">
        <v>0</v>
      </c>
      <c r="V62" s="32">
        <f t="shared" si="9"/>
        <v>0</v>
      </c>
      <c r="W62" s="2"/>
      <c r="X62" s="28">
        <v>0</v>
      </c>
      <c r="Y62" s="25"/>
      <c r="Z62" s="25"/>
      <c r="AA62" s="25"/>
      <c r="AB62" s="25"/>
      <c r="AC62" s="25"/>
      <c r="AD62" s="25"/>
    </row>
    <row r="63" spans="1:30" ht="12.75">
      <c r="A63" s="8" t="s">
        <v>1</v>
      </c>
      <c r="B63" s="8" t="s">
        <v>1</v>
      </c>
      <c r="C63" s="8" t="s">
        <v>1</v>
      </c>
      <c r="D63" s="8" t="s">
        <v>1</v>
      </c>
      <c r="E63" s="8" t="s">
        <v>1</v>
      </c>
      <c r="F63" s="8" t="s">
        <v>26</v>
      </c>
      <c r="G63" s="4" t="s">
        <v>1</v>
      </c>
      <c r="H63" s="13" t="s">
        <v>1</v>
      </c>
      <c r="I63" s="26" t="s">
        <v>1</v>
      </c>
      <c r="J63" s="31" t="s">
        <v>1</v>
      </c>
      <c r="K63" s="31"/>
      <c r="L63" s="12"/>
      <c r="M63" s="33" t="s">
        <v>1</v>
      </c>
      <c r="N63" s="15"/>
      <c r="O63" s="15"/>
      <c r="P63" s="2"/>
      <c r="Q63" s="2"/>
      <c r="R63" s="2"/>
      <c r="S63" s="2"/>
      <c r="T63" s="2"/>
      <c r="U63" s="2"/>
      <c r="V63" s="2"/>
      <c r="W63" s="2"/>
      <c r="X63" s="28"/>
      <c r="Y63" s="25"/>
      <c r="Z63" s="25"/>
      <c r="AA63" s="25"/>
      <c r="AB63" s="25"/>
      <c r="AC63" s="25"/>
      <c r="AD63" s="25"/>
    </row>
    <row r="64" spans="7:30" ht="12.75">
      <c r="G64" s="34" t="s">
        <v>1</v>
      </c>
      <c r="H64" s="78" t="s">
        <v>1</v>
      </c>
      <c r="I64" s="153" t="s">
        <v>1</v>
      </c>
      <c r="T64" s="34" t="s">
        <v>1</v>
      </c>
      <c r="Y64" s="25"/>
      <c r="Z64" s="25"/>
      <c r="AA64" s="25"/>
      <c r="AB64" s="25"/>
      <c r="AC64" s="25"/>
      <c r="AD64" s="25"/>
    </row>
    <row r="65" spans="7:30" ht="12.75">
      <c r="G65" s="34" t="s">
        <v>1</v>
      </c>
      <c r="H65" s="81"/>
      <c r="I65" s="154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95" t="s">
        <v>1</v>
      </c>
      <c r="U65" s="84"/>
      <c r="V65" s="95"/>
      <c r="Y65" s="25"/>
      <c r="Z65" s="25"/>
      <c r="AA65" s="25"/>
      <c r="AB65" s="25"/>
      <c r="AC65" s="25"/>
      <c r="AD65" s="25"/>
    </row>
    <row r="66" spans="7:30" ht="15">
      <c r="G66" s="7"/>
      <c r="H66" s="83"/>
      <c r="I66" s="155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1"/>
      <c r="X66" s="1"/>
      <c r="Y66" s="25"/>
      <c r="Z66" s="25"/>
      <c r="AA66" s="25"/>
      <c r="AB66" s="25"/>
      <c r="AC66" s="25"/>
      <c r="AD66" s="25"/>
    </row>
    <row r="67" spans="7:30" ht="12.75">
      <c r="G67" s="7"/>
      <c r="H67" s="83"/>
      <c r="I67" s="154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1"/>
      <c r="X67" s="1"/>
      <c r="Y67" s="25"/>
      <c r="Z67" s="25"/>
      <c r="AA67" s="25"/>
      <c r="AB67" s="25"/>
      <c r="AC67" s="25"/>
      <c r="AD67" s="25"/>
    </row>
    <row r="68" spans="7:30" ht="12.75">
      <c r="G68" s="25"/>
      <c r="H68" s="83"/>
      <c r="I68" s="156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1"/>
      <c r="X68" s="1"/>
      <c r="Y68" s="25"/>
      <c r="Z68" s="25"/>
      <c r="AA68" s="25"/>
      <c r="AB68" s="25"/>
      <c r="AC68" s="25"/>
      <c r="AD68" s="25"/>
    </row>
    <row r="69" spans="7:30" ht="12.75">
      <c r="G69" s="7"/>
      <c r="H69" s="83"/>
      <c r="I69" s="156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1"/>
      <c r="X69" s="1"/>
      <c r="Y69" s="25"/>
      <c r="Z69" s="25"/>
      <c r="AA69" s="25"/>
      <c r="AB69" s="25"/>
      <c r="AC69" s="25"/>
      <c r="AD69" s="25"/>
    </row>
    <row r="70" spans="7:30" ht="12.75">
      <c r="G70" s="1"/>
      <c r="H70" s="83"/>
      <c r="I70" s="156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83"/>
      <c r="U70" s="83"/>
      <c r="V70" s="58"/>
      <c r="W70" s="1"/>
      <c r="X70" s="1"/>
      <c r="Y70" s="25"/>
      <c r="Z70" s="25"/>
      <c r="AA70" s="25"/>
      <c r="AB70" s="25"/>
      <c r="AC70" s="25"/>
      <c r="AD70" s="25"/>
    </row>
    <row r="71" spans="7:30" ht="12.75">
      <c r="G71" s="1"/>
      <c r="H71" s="83"/>
      <c r="I71" s="156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83"/>
      <c r="U71" s="83"/>
      <c r="V71" s="58"/>
      <c r="W71" s="1"/>
      <c r="X71" s="1"/>
      <c r="Y71" s="25"/>
      <c r="Z71" s="25"/>
      <c r="AA71" s="25"/>
      <c r="AB71" s="25"/>
      <c r="AC71" s="25"/>
      <c r="AD71" s="25"/>
    </row>
    <row r="72" spans="7:30" ht="12.75">
      <c r="G72" s="1"/>
      <c r="H72" s="83"/>
      <c r="I72" s="154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83"/>
      <c r="U72" s="83"/>
      <c r="V72" s="58"/>
      <c r="W72" s="1"/>
      <c r="X72" s="1"/>
      <c r="Y72" s="25"/>
      <c r="Z72" s="25"/>
      <c r="AA72" s="25"/>
      <c r="AB72" s="25"/>
      <c r="AC72" s="25"/>
      <c r="AD72" s="25"/>
    </row>
    <row r="73" spans="7:30" ht="12.75">
      <c r="G73" s="1"/>
      <c r="H73" s="83"/>
      <c r="I73" s="154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83"/>
      <c r="U73" s="83"/>
      <c r="V73" s="58"/>
      <c r="W73" s="1"/>
      <c r="X73" s="1"/>
      <c r="Y73" s="25"/>
      <c r="Z73" s="25"/>
      <c r="AA73" s="25"/>
      <c r="AB73" s="25"/>
      <c r="AC73" s="25"/>
      <c r="AD73" s="25"/>
    </row>
    <row r="74" spans="7:30" ht="12.75">
      <c r="G74" s="1"/>
      <c r="H74" s="83"/>
      <c r="I74" s="154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82"/>
      <c r="U74" s="82"/>
      <c r="V74" s="58"/>
      <c r="W74" s="1"/>
      <c r="X74" s="1"/>
      <c r="Y74" s="25"/>
      <c r="Z74" s="25"/>
      <c r="AA74" s="25"/>
      <c r="AB74" s="25"/>
      <c r="AC74" s="25"/>
      <c r="AD74" s="25"/>
    </row>
    <row r="75" spans="7:30" ht="12.75">
      <c r="G75" s="1"/>
      <c r="H75" s="83"/>
      <c r="I75" s="156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1"/>
      <c r="X75" s="1"/>
      <c r="Y75" s="25"/>
      <c r="Z75" s="25"/>
      <c r="AA75" s="25"/>
      <c r="AB75" s="25"/>
      <c r="AC75" s="25"/>
      <c r="AD75" s="25"/>
    </row>
    <row r="76" spans="7:30" ht="12.75">
      <c r="G76" s="1"/>
      <c r="H76" s="83"/>
      <c r="I76" s="156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1"/>
      <c r="X76" s="1"/>
      <c r="Y76" s="25"/>
      <c r="Z76" s="25"/>
      <c r="AA76" s="25"/>
      <c r="AB76" s="25"/>
      <c r="AC76" s="25"/>
      <c r="AD76" s="25"/>
    </row>
    <row r="77" spans="7:30" ht="12.75">
      <c r="G77" s="1"/>
      <c r="H77" s="83"/>
      <c r="I77" s="156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1"/>
      <c r="X77" s="1"/>
      <c r="Y77" s="25"/>
      <c r="Z77" s="25"/>
      <c r="AA77" s="25"/>
      <c r="AB77" s="25"/>
      <c r="AC77" s="25"/>
      <c r="AD77" s="25"/>
    </row>
    <row r="78" spans="7:30" ht="12.75">
      <c r="G78" s="1"/>
      <c r="H78" s="83"/>
      <c r="I78" s="154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97"/>
      <c r="U78" s="58"/>
      <c r="V78" s="58"/>
      <c r="W78" s="1"/>
      <c r="X78" s="1"/>
      <c r="Y78" s="25"/>
      <c r="Z78" s="25"/>
      <c r="AA78" s="25"/>
      <c r="AB78" s="25"/>
      <c r="AC78" s="25"/>
      <c r="AD78" s="25"/>
    </row>
    <row r="79" spans="7:30" ht="12.75">
      <c r="G79" s="1"/>
      <c r="H79" s="83"/>
      <c r="I79" s="156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1"/>
      <c r="X79" s="1"/>
      <c r="Y79" s="25"/>
      <c r="Z79" s="25"/>
      <c r="AA79" s="25"/>
      <c r="AB79" s="25"/>
      <c r="AC79" s="25"/>
      <c r="AD79" s="25"/>
    </row>
    <row r="80" spans="7:30" ht="12.75">
      <c r="G80" s="1"/>
      <c r="H80" s="96"/>
      <c r="I80" s="15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5"/>
      <c r="Z80" s="25"/>
      <c r="AA80" s="25"/>
      <c r="AB80" s="25"/>
      <c r="AC80" s="25"/>
      <c r="AD80" s="25"/>
    </row>
    <row r="81" spans="7:30" ht="12.75">
      <c r="G81" s="1"/>
      <c r="H81" s="96"/>
      <c r="I81" s="15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5"/>
      <c r="Z81" s="25"/>
      <c r="AA81" s="25"/>
      <c r="AB81" s="25"/>
      <c r="AC81" s="25"/>
      <c r="AD81" s="25"/>
    </row>
    <row r="82" spans="7:30" ht="12.75">
      <c r="G82" s="1"/>
      <c r="H82" s="96"/>
      <c r="I82" s="15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5"/>
      <c r="Z82" s="25"/>
      <c r="AA82" s="25"/>
      <c r="AB82" s="25"/>
      <c r="AC82" s="25"/>
      <c r="AD82" s="25"/>
    </row>
    <row r="83" spans="7:30" ht="12.75">
      <c r="G83" s="1"/>
      <c r="H83" s="96"/>
      <c r="I83" s="157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5"/>
      <c r="Z83" s="25"/>
      <c r="AA83" s="25"/>
      <c r="AB83" s="25"/>
      <c r="AC83" s="25"/>
      <c r="AD83" s="25"/>
    </row>
    <row r="84" spans="7:30" ht="12.75">
      <c r="G84" s="1"/>
      <c r="H84" s="96"/>
      <c r="I84" s="157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5"/>
      <c r="Z84" s="25"/>
      <c r="AA84" s="25"/>
      <c r="AB84" s="25"/>
      <c r="AC84" s="25"/>
      <c r="AD84" s="25"/>
    </row>
    <row r="85" spans="7:30" ht="12.75">
      <c r="G85" s="1"/>
      <c r="H85" s="96"/>
      <c r="I85" s="157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5"/>
      <c r="Z85" s="25"/>
      <c r="AA85" s="25"/>
      <c r="AB85" s="25"/>
      <c r="AC85" s="25"/>
      <c r="AD85" s="25"/>
    </row>
    <row r="86" spans="7:30" ht="12.75">
      <c r="G86" s="1"/>
      <c r="H86" s="96"/>
      <c r="I86" s="157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5"/>
      <c r="Z86" s="25"/>
      <c r="AA86" s="25"/>
      <c r="AB86" s="25"/>
      <c r="AC86" s="25"/>
      <c r="AD86" s="25"/>
    </row>
    <row r="87" spans="7:30" ht="12.75">
      <c r="G87" s="1"/>
      <c r="H87" s="96"/>
      <c r="I87" s="15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5"/>
      <c r="Z87" s="25"/>
      <c r="AA87" s="25"/>
      <c r="AB87" s="25"/>
      <c r="AC87" s="25"/>
      <c r="AD87" s="25"/>
    </row>
    <row r="88" spans="7:30" ht="12.75">
      <c r="G88" s="1"/>
      <c r="H88" s="96"/>
      <c r="I88" s="157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5"/>
      <c r="Z88" s="25"/>
      <c r="AA88" s="25"/>
      <c r="AB88" s="25"/>
      <c r="AC88" s="25"/>
      <c r="AD88" s="25"/>
    </row>
    <row r="89" spans="7:30" ht="12.75">
      <c r="G89" s="1"/>
      <c r="H89" s="96"/>
      <c r="I89" s="157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5"/>
      <c r="Z89" s="25"/>
      <c r="AA89" s="25"/>
      <c r="AB89" s="25"/>
      <c r="AC89" s="25"/>
      <c r="AD89" s="25"/>
    </row>
    <row r="90" spans="7:30" ht="12.75">
      <c r="G90" s="1"/>
      <c r="H90" s="96"/>
      <c r="I90" s="157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5"/>
      <c r="Z90" s="25"/>
      <c r="AA90" s="25"/>
      <c r="AB90" s="25"/>
      <c r="AC90" s="25"/>
      <c r="AD90" s="25"/>
    </row>
    <row r="91" spans="7:30" ht="12.75">
      <c r="G91" s="1"/>
      <c r="H91" s="96"/>
      <c r="I91" s="157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5"/>
      <c r="Z91" s="25"/>
      <c r="AA91" s="25"/>
      <c r="AB91" s="25"/>
      <c r="AC91" s="25"/>
      <c r="AD91" s="25"/>
    </row>
    <row r="92" spans="7:30" ht="12.75">
      <c r="G92" s="1"/>
      <c r="H92" s="96"/>
      <c r="I92" s="157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5"/>
      <c r="Z92" s="25"/>
      <c r="AA92" s="25"/>
      <c r="AB92" s="25"/>
      <c r="AC92" s="25"/>
      <c r="AD92" s="25"/>
    </row>
    <row r="93" spans="7:30" ht="12.75">
      <c r="G93" s="1"/>
      <c r="H93" s="96"/>
      <c r="I93" s="157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5"/>
      <c r="Z93" s="25"/>
      <c r="AA93" s="25"/>
      <c r="AB93" s="25"/>
      <c r="AC93" s="25"/>
      <c r="AD93" s="25"/>
    </row>
    <row r="94" spans="7:30" ht="12.75">
      <c r="G94" s="1"/>
      <c r="H94" s="96"/>
      <c r="I94" s="157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5"/>
      <c r="Z94" s="25"/>
      <c r="AA94" s="25"/>
      <c r="AB94" s="25"/>
      <c r="AC94" s="25"/>
      <c r="AD94" s="25"/>
    </row>
    <row r="95" spans="7:30" ht="12.75">
      <c r="G95" s="1"/>
      <c r="H95" s="96"/>
      <c r="I95" s="157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5"/>
      <c r="Z95" s="25"/>
      <c r="AA95" s="25"/>
      <c r="AB95" s="25"/>
      <c r="AC95" s="25"/>
      <c r="AD95" s="25"/>
    </row>
    <row r="96" spans="7:30" ht="12.75">
      <c r="G96" s="1"/>
      <c r="H96" s="96"/>
      <c r="I96" s="157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5"/>
      <c r="Z96" s="25"/>
      <c r="AA96" s="25"/>
      <c r="AB96" s="25"/>
      <c r="AC96" s="25"/>
      <c r="AD96" s="25"/>
    </row>
    <row r="97" spans="7:30" ht="12.75">
      <c r="G97" s="1"/>
      <c r="H97" s="96"/>
      <c r="I97" s="157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5"/>
      <c r="Z97" s="25"/>
      <c r="AA97" s="25"/>
      <c r="AB97" s="25"/>
      <c r="AC97" s="25"/>
      <c r="AD97" s="25"/>
    </row>
    <row r="98" spans="7:30" ht="12.75">
      <c r="G98" s="1"/>
      <c r="H98" s="96"/>
      <c r="I98" s="157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5"/>
      <c r="Z98" s="25"/>
      <c r="AA98" s="25"/>
      <c r="AB98" s="25"/>
      <c r="AC98" s="25"/>
      <c r="AD98" s="25"/>
    </row>
    <row r="99" spans="7:30" ht="12.75">
      <c r="G99" s="1"/>
      <c r="H99" s="96"/>
      <c r="I99" s="157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5"/>
      <c r="Z99" s="25"/>
      <c r="AA99" s="25"/>
      <c r="AB99" s="25"/>
      <c r="AC99" s="25"/>
      <c r="AD99" s="25"/>
    </row>
    <row r="100" spans="7:30" ht="12.75">
      <c r="G100" s="1"/>
      <c r="H100" s="96"/>
      <c r="I100" s="157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5"/>
      <c r="Z100" s="25"/>
      <c r="AA100" s="25"/>
      <c r="AB100" s="25"/>
      <c r="AC100" s="25"/>
      <c r="AD100" s="25"/>
    </row>
    <row r="101" spans="7:30" ht="12.75">
      <c r="G101" s="1"/>
      <c r="H101" s="96"/>
      <c r="I101" s="157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5"/>
      <c r="Z101" s="25"/>
      <c r="AA101" s="25"/>
      <c r="AB101" s="25"/>
      <c r="AC101" s="25"/>
      <c r="AD101" s="25"/>
    </row>
    <row r="102" spans="7:30" ht="12.75">
      <c r="G102" s="1"/>
      <c r="H102" s="96"/>
      <c r="I102" s="157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5"/>
      <c r="Z102" s="25"/>
      <c r="AA102" s="25"/>
      <c r="AB102" s="25"/>
      <c r="AC102" s="25"/>
      <c r="AD102" s="25"/>
    </row>
    <row r="103" spans="7:30" ht="12.75">
      <c r="G103" s="1"/>
      <c r="H103" s="96"/>
      <c r="I103" s="157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5"/>
      <c r="Z103" s="25"/>
      <c r="AA103" s="25"/>
      <c r="AB103" s="25"/>
      <c r="AC103" s="25"/>
      <c r="AD103" s="25"/>
    </row>
    <row r="104" spans="7:30" ht="12.75">
      <c r="G104" s="1"/>
      <c r="H104" s="96"/>
      <c r="I104" s="157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5"/>
      <c r="Z104" s="25"/>
      <c r="AA104" s="25"/>
      <c r="AB104" s="25"/>
      <c r="AC104" s="25"/>
      <c r="AD104" s="25"/>
    </row>
    <row r="105" spans="7:30" ht="12.75">
      <c r="G105" s="1"/>
      <c r="H105" s="96"/>
      <c r="I105" s="157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5"/>
      <c r="Z105" s="25"/>
      <c r="AA105" s="25"/>
      <c r="AB105" s="25"/>
      <c r="AC105" s="25"/>
      <c r="AD105" s="25"/>
    </row>
    <row r="106" spans="7:30" ht="12.75">
      <c r="G106" s="1"/>
      <c r="H106" s="96"/>
      <c r="I106" s="157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5"/>
      <c r="Z106" s="25"/>
      <c r="AA106" s="25"/>
      <c r="AB106" s="25"/>
      <c r="AC106" s="25"/>
      <c r="AD106" s="25"/>
    </row>
    <row r="107" spans="7:30" ht="12.75">
      <c r="G107" s="1"/>
      <c r="H107" s="96"/>
      <c r="I107" s="157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5"/>
      <c r="Z107" s="25"/>
      <c r="AA107" s="25"/>
      <c r="AB107" s="25"/>
      <c r="AC107" s="25"/>
      <c r="AD107" s="25"/>
    </row>
    <row r="108" spans="7:24" ht="12.75">
      <c r="G108" s="1"/>
      <c r="H108" s="96"/>
      <c r="I108" s="157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7:24" ht="12.75">
      <c r="G109" s="1"/>
      <c r="H109" s="96"/>
      <c r="I109" s="157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7:24" ht="12.75">
      <c r="G110" s="1"/>
      <c r="H110" s="96"/>
      <c r="I110" s="157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7:24" ht="12.75">
      <c r="G111" s="1"/>
      <c r="H111" s="96"/>
      <c r="I111" s="157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7:24" ht="12.75">
      <c r="G112" s="1"/>
      <c r="H112" s="96"/>
      <c r="I112" s="157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7:24" ht="12.75">
      <c r="G113" s="1"/>
      <c r="H113" s="96"/>
      <c r="I113" s="157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7:24" ht="12.75">
      <c r="G114" s="1"/>
      <c r="H114" s="96"/>
      <c r="I114" s="157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7:24" ht="12.75">
      <c r="G115" s="1"/>
      <c r="H115" s="96"/>
      <c r="I115" s="157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7:24" ht="12.75">
      <c r="G116" s="1"/>
      <c r="H116" s="96"/>
      <c r="I116" s="157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7:24" ht="12.75">
      <c r="G117" s="1"/>
      <c r="H117" s="96"/>
      <c r="I117" s="157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</sheetData>
  <sheetProtection/>
  <mergeCells count="6">
    <mergeCell ref="A40:X40"/>
    <mergeCell ref="A1:X1"/>
    <mergeCell ref="A2:X2"/>
    <mergeCell ref="A3:X3"/>
    <mergeCell ref="A39:X39"/>
    <mergeCell ref="A38:X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0"/>
  <sheetViews>
    <sheetView zoomScalePageLayoutView="0" workbookViewId="0" topLeftCell="A1">
      <selection activeCell="A35" sqref="A35"/>
    </sheetView>
  </sheetViews>
  <sheetFormatPr defaultColWidth="11.421875" defaultRowHeight="12.75"/>
  <cols>
    <col min="1" max="1" width="54.7109375" style="0" customWidth="1"/>
    <col min="2" max="2" width="19.8515625" style="0" customWidth="1"/>
    <col min="3" max="3" width="22.00390625" style="0" customWidth="1"/>
    <col min="4" max="4" width="17.7109375" style="0" customWidth="1"/>
    <col min="5" max="5" width="22.57421875" style="0" customWidth="1"/>
    <col min="6" max="6" width="15.28125" style="0" customWidth="1"/>
    <col min="8" max="8" width="13.7109375" style="0" bestFit="1" customWidth="1"/>
    <col min="9" max="9" width="13.28125" style="0" bestFit="1" customWidth="1"/>
    <col min="10" max="10" width="13.7109375" style="0" bestFit="1" customWidth="1"/>
    <col min="11" max="11" width="16.57421875" style="0" customWidth="1"/>
  </cols>
  <sheetData>
    <row r="2" spans="2:8" ht="12.75">
      <c r="B2" s="55" t="s">
        <v>131</v>
      </c>
      <c r="H2" s="55" t="s">
        <v>132</v>
      </c>
    </row>
    <row r="3" spans="1:12" ht="12.75">
      <c r="A3" t="s">
        <v>103</v>
      </c>
      <c r="B3" s="1">
        <f>SUM(B6:B13)</f>
        <v>203784164</v>
      </c>
      <c r="C3" s="1">
        <f>SUM(C6:C13)</f>
        <v>43500000</v>
      </c>
      <c r="D3" s="1">
        <f>+B3+C3</f>
        <v>247284164</v>
      </c>
      <c r="E3" s="1">
        <f>SUM(E6:E13)</f>
        <v>245322873</v>
      </c>
      <c r="F3" s="1">
        <f>+D3-E3</f>
        <v>1961291</v>
      </c>
      <c r="G3" s="1"/>
      <c r="H3" s="1">
        <f>SUM(H6:H12)</f>
        <v>219078000</v>
      </c>
      <c r="I3" s="1">
        <f>SUM(I6:I12)</f>
        <v>-22867271</v>
      </c>
      <c r="J3" s="1">
        <f>SUM(J6:J12)</f>
        <v>196210729</v>
      </c>
      <c r="K3" s="1">
        <f>SUM(K6:K12)</f>
        <v>196210729</v>
      </c>
      <c r="L3" s="1"/>
    </row>
    <row r="4" spans="2:12" ht="12.75">
      <c r="B4" s="1"/>
      <c r="C4" s="1"/>
      <c r="D4" s="7" t="s">
        <v>1</v>
      </c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7" t="s">
        <v>1</v>
      </c>
      <c r="E5" s="1"/>
      <c r="F5" s="1"/>
      <c r="G5" s="1"/>
      <c r="H5" s="1"/>
      <c r="I5" s="1"/>
      <c r="J5" s="1"/>
      <c r="K5" s="1"/>
      <c r="L5" s="1"/>
    </row>
    <row r="6" spans="1:12" ht="12.75">
      <c r="A6" t="s">
        <v>104</v>
      </c>
      <c r="B6" s="1">
        <v>43434833</v>
      </c>
      <c r="C6" s="1">
        <v>100000</v>
      </c>
      <c r="D6" s="1">
        <f aca="true" t="shared" si="0" ref="D6:D69">+B6+C6</f>
        <v>43534833</v>
      </c>
      <c r="E6" s="1">
        <v>43491295</v>
      </c>
      <c r="F6" s="1">
        <f aca="true" t="shared" si="1" ref="F6:F49">+D6-E6</f>
        <v>43538</v>
      </c>
      <c r="G6" s="1"/>
      <c r="H6" s="1">
        <v>13000000</v>
      </c>
      <c r="I6" s="1"/>
      <c r="J6" s="1">
        <f aca="true" t="shared" si="2" ref="J6:J11">+H6-I6</f>
        <v>13000000</v>
      </c>
      <c r="K6" s="1">
        <f>+J6</f>
        <v>13000000</v>
      </c>
      <c r="L6" s="1"/>
    </row>
    <row r="7" spans="1:12" ht="12.75">
      <c r="A7" t="s">
        <v>105</v>
      </c>
      <c r="B7" s="1">
        <v>9196054</v>
      </c>
      <c r="C7" s="1">
        <v>2100000</v>
      </c>
      <c r="D7" s="1">
        <f t="shared" si="0"/>
        <v>11296054</v>
      </c>
      <c r="E7" s="1">
        <v>11239919</v>
      </c>
      <c r="F7" s="1">
        <f t="shared" si="1"/>
        <v>56135</v>
      </c>
      <c r="G7" s="1"/>
      <c r="H7" s="1"/>
      <c r="I7" s="1"/>
      <c r="J7" s="1">
        <f t="shared" si="2"/>
        <v>0</v>
      </c>
      <c r="K7" s="1"/>
      <c r="L7" s="1"/>
    </row>
    <row r="8" spans="1:12" ht="12.75">
      <c r="A8" t="s">
        <v>106</v>
      </c>
      <c r="B8" s="1">
        <v>6569244</v>
      </c>
      <c r="C8" s="1"/>
      <c r="D8" s="1">
        <f t="shared" si="0"/>
        <v>6569244</v>
      </c>
      <c r="E8" s="1">
        <v>6489558</v>
      </c>
      <c r="F8" s="1">
        <f t="shared" si="1"/>
        <v>79686</v>
      </c>
      <c r="G8" s="1"/>
      <c r="H8" s="1"/>
      <c r="I8" s="1"/>
      <c r="J8" s="1">
        <f t="shared" si="2"/>
        <v>0</v>
      </c>
      <c r="K8" s="1"/>
      <c r="L8" s="1"/>
    </row>
    <row r="9" spans="1:12" ht="12.75">
      <c r="A9" t="s">
        <v>107</v>
      </c>
      <c r="B9" s="1">
        <v>6216000</v>
      </c>
      <c r="C9" s="1"/>
      <c r="D9" s="1">
        <f t="shared" si="0"/>
        <v>6216000</v>
      </c>
      <c r="E9" s="1">
        <v>5873557</v>
      </c>
      <c r="F9" s="1">
        <f t="shared" si="1"/>
        <v>342443</v>
      </c>
      <c r="G9" s="1"/>
      <c r="H9" s="1"/>
      <c r="I9" s="1"/>
      <c r="J9" s="1">
        <f t="shared" si="2"/>
        <v>0</v>
      </c>
      <c r="K9" s="1"/>
      <c r="L9" s="1"/>
    </row>
    <row r="10" spans="1:12" ht="12.75">
      <c r="A10" t="s">
        <v>108</v>
      </c>
      <c r="B10" s="1">
        <v>19078981</v>
      </c>
      <c r="C10" s="1">
        <v>-4400000</v>
      </c>
      <c r="D10" s="1">
        <f t="shared" si="0"/>
        <v>14678981</v>
      </c>
      <c r="E10" s="1">
        <v>14654699</v>
      </c>
      <c r="F10" s="1">
        <f t="shared" si="1"/>
        <v>24282</v>
      </c>
      <c r="G10" s="1"/>
      <c r="H10" s="1">
        <v>62000000</v>
      </c>
      <c r="I10" s="1"/>
      <c r="J10" s="1">
        <f t="shared" si="2"/>
        <v>62000000</v>
      </c>
      <c r="K10" s="1">
        <f>+J10</f>
        <v>62000000</v>
      </c>
      <c r="L10" s="1"/>
    </row>
    <row r="11" spans="1:12" ht="12.75">
      <c r="A11" t="s">
        <v>109</v>
      </c>
      <c r="B11" s="1">
        <v>63379272</v>
      </c>
      <c r="C11" s="1">
        <f>76379272-B11</f>
        <v>13000000</v>
      </c>
      <c r="D11" s="1">
        <f t="shared" si="0"/>
        <v>76379272</v>
      </c>
      <c r="E11" s="1">
        <v>76316713</v>
      </c>
      <c r="F11" s="1">
        <f t="shared" si="1"/>
        <v>62559</v>
      </c>
      <c r="G11" s="1"/>
      <c r="H11" s="1">
        <v>21078000</v>
      </c>
      <c r="I11" s="1"/>
      <c r="J11" s="1">
        <f t="shared" si="2"/>
        <v>21078000</v>
      </c>
      <c r="K11" s="1">
        <f>+J11</f>
        <v>21078000</v>
      </c>
      <c r="L11" s="1"/>
    </row>
    <row r="12" spans="1:12" ht="12.75">
      <c r="A12" t="s">
        <v>110</v>
      </c>
      <c r="B12" s="1">
        <v>45505525</v>
      </c>
      <c r="C12" s="1">
        <f>23000000+6000000</f>
        <v>29000000</v>
      </c>
      <c r="D12" s="1">
        <f t="shared" si="0"/>
        <v>74505525</v>
      </c>
      <c r="E12" s="1">
        <v>74399452</v>
      </c>
      <c r="F12" s="1">
        <f t="shared" si="1"/>
        <v>106073</v>
      </c>
      <c r="G12" s="1"/>
      <c r="H12" s="1">
        <f>100132729+22867271</f>
        <v>123000000</v>
      </c>
      <c r="I12" s="1">
        <v>-22867271</v>
      </c>
      <c r="J12" s="1">
        <f>+H12+I12</f>
        <v>100132729</v>
      </c>
      <c r="K12" s="1">
        <f>+J12</f>
        <v>100132729</v>
      </c>
      <c r="L12" s="1"/>
    </row>
    <row r="13" spans="1:12" ht="12.75">
      <c r="A13" t="s">
        <v>111</v>
      </c>
      <c r="B13" s="1">
        <v>10404255</v>
      </c>
      <c r="C13" s="1">
        <v>3700000</v>
      </c>
      <c r="D13" s="1">
        <f t="shared" si="0"/>
        <v>14104255</v>
      </c>
      <c r="E13" s="1">
        <v>12857680</v>
      </c>
      <c r="F13" s="1">
        <f t="shared" si="1"/>
        <v>1246575</v>
      </c>
      <c r="G13" s="1"/>
      <c r="H13" s="1"/>
      <c r="I13" s="1"/>
      <c r="J13" s="1"/>
      <c r="K13" s="1"/>
      <c r="L13" s="1"/>
    </row>
    <row r="14" spans="2:12" ht="12.75">
      <c r="B14" s="1"/>
      <c r="C14" s="1"/>
      <c r="D14" s="1">
        <f t="shared" si="0"/>
        <v>0</v>
      </c>
      <c r="E14" s="1"/>
      <c r="F14" s="1">
        <f t="shared" si="1"/>
        <v>0</v>
      </c>
      <c r="G14" s="1"/>
      <c r="H14" s="1"/>
      <c r="I14" s="1"/>
      <c r="J14" s="1"/>
      <c r="K14" s="1"/>
      <c r="L14" s="1"/>
    </row>
    <row r="15" spans="1:12" ht="12.75">
      <c r="A15" s="55" t="s">
        <v>112</v>
      </c>
      <c r="B15" s="1">
        <f>SUM(B17:B19)</f>
        <v>517824251</v>
      </c>
      <c r="C15" s="1">
        <f>SUM(C17:C19)</f>
        <v>329196000</v>
      </c>
      <c r="D15" s="1">
        <f t="shared" si="0"/>
        <v>847020251</v>
      </c>
      <c r="E15" s="1">
        <f>SUM(E17:E19)</f>
        <v>730893787</v>
      </c>
      <c r="F15" s="1">
        <f t="shared" si="1"/>
        <v>116126464</v>
      </c>
      <c r="G15" s="1"/>
      <c r="H15" s="1"/>
      <c r="I15" s="1"/>
      <c r="J15" s="1"/>
      <c r="K15" s="1"/>
      <c r="L15" s="1"/>
    </row>
    <row r="16" spans="2:12" ht="12.75">
      <c r="B16" s="1"/>
      <c r="C16" s="1"/>
      <c r="D16" s="1">
        <f t="shared" si="0"/>
        <v>0</v>
      </c>
      <c r="E16" s="1"/>
      <c r="F16" s="1">
        <f t="shared" si="1"/>
        <v>0</v>
      </c>
      <c r="G16" s="1"/>
      <c r="H16" s="1"/>
      <c r="I16" s="1"/>
      <c r="J16" s="1"/>
      <c r="K16" s="1"/>
      <c r="L16" s="1"/>
    </row>
    <row r="17" spans="1:12" ht="12.75">
      <c r="A17" s="55" t="s">
        <v>113</v>
      </c>
      <c r="B17" s="1">
        <v>95268751</v>
      </c>
      <c r="C17" s="1"/>
      <c r="D17" s="1">
        <f t="shared" si="0"/>
        <v>95268751</v>
      </c>
      <c r="E17" s="1">
        <v>61089546</v>
      </c>
      <c r="F17" s="1">
        <f t="shared" si="1"/>
        <v>34179205</v>
      </c>
      <c r="G17" s="1"/>
      <c r="H17" s="1"/>
      <c r="I17" s="1"/>
      <c r="J17" s="1"/>
      <c r="K17" s="1"/>
      <c r="L17" s="1"/>
    </row>
    <row r="18" spans="1:12" ht="12.75">
      <c r="A18" s="55" t="s">
        <v>114</v>
      </c>
      <c r="B18" s="1">
        <v>19076000</v>
      </c>
      <c r="C18" s="1"/>
      <c r="D18" s="1">
        <f t="shared" si="0"/>
        <v>19076000</v>
      </c>
      <c r="E18" s="1">
        <v>17038572</v>
      </c>
      <c r="F18" s="1">
        <f t="shared" si="1"/>
        <v>2037428</v>
      </c>
      <c r="G18" s="1"/>
      <c r="H18" s="1"/>
      <c r="I18" s="1"/>
      <c r="J18" s="1"/>
      <c r="K18" s="1"/>
      <c r="L18" s="1"/>
    </row>
    <row r="19" spans="1:12" ht="12.75">
      <c r="A19" s="55" t="s">
        <v>115</v>
      </c>
      <c r="B19" s="1">
        <v>403479500</v>
      </c>
      <c r="C19" s="1">
        <f>545696000-159000000-57500000</f>
        <v>329196000</v>
      </c>
      <c r="D19" s="1">
        <f t="shared" si="0"/>
        <v>732675500</v>
      </c>
      <c r="E19" s="1">
        <v>652765669</v>
      </c>
      <c r="F19" s="1">
        <f t="shared" si="1"/>
        <v>79909831</v>
      </c>
      <c r="G19" s="1"/>
      <c r="H19" s="1"/>
      <c r="I19" s="1"/>
      <c r="J19" s="1"/>
      <c r="K19" s="1"/>
      <c r="L19" s="1"/>
    </row>
    <row r="20" spans="2:12" ht="12.75">
      <c r="B20" s="1"/>
      <c r="C20" s="1"/>
      <c r="D20" s="1">
        <f t="shared" si="0"/>
        <v>0</v>
      </c>
      <c r="E20" s="1"/>
      <c r="F20" s="7" t="s">
        <v>1</v>
      </c>
      <c r="G20" s="1"/>
      <c r="H20" s="1"/>
      <c r="I20" s="1"/>
      <c r="J20" s="1"/>
      <c r="K20" s="1"/>
      <c r="L20" s="1"/>
    </row>
    <row r="21" spans="2:12" ht="12.75">
      <c r="B21" s="1"/>
      <c r="C21" s="1"/>
      <c r="D21" s="1">
        <f t="shared" si="0"/>
        <v>0</v>
      </c>
      <c r="E21" s="1"/>
      <c r="F21" s="7" t="s">
        <v>1</v>
      </c>
      <c r="G21" s="1"/>
      <c r="H21" s="1"/>
      <c r="I21" s="1"/>
      <c r="J21" s="1"/>
      <c r="K21" s="1"/>
      <c r="L21" s="1"/>
    </row>
    <row r="22" spans="1:12" ht="12.75">
      <c r="A22" s="55" t="s">
        <v>120</v>
      </c>
      <c r="B22" s="1">
        <f>+B24+B29+B41</f>
        <v>1097571531</v>
      </c>
      <c r="C22" s="1">
        <f>+C24+C29+C41</f>
        <v>111800000</v>
      </c>
      <c r="D22" s="1">
        <f>+D24+D29+D41</f>
        <v>1209371531</v>
      </c>
      <c r="E22" s="1">
        <f>+E24+E29+E41</f>
        <v>1036440588</v>
      </c>
      <c r="F22" s="1">
        <f t="shared" si="1"/>
        <v>172930943</v>
      </c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>
        <f t="shared" si="1"/>
        <v>0</v>
      </c>
      <c r="G23" s="1"/>
      <c r="H23" s="1"/>
      <c r="I23" s="1"/>
      <c r="J23" s="1"/>
      <c r="K23" s="1"/>
      <c r="L23" s="1"/>
    </row>
    <row r="24" spans="1:12" ht="12.75">
      <c r="A24" s="55" t="s">
        <v>116</v>
      </c>
      <c r="B24" s="1">
        <f>+B26+B27</f>
        <v>210512500</v>
      </c>
      <c r="C24" s="1">
        <f>+C26+C27</f>
        <v>167800000</v>
      </c>
      <c r="D24" s="1">
        <f>+D26+D27</f>
        <v>378312500</v>
      </c>
      <c r="E24" s="1">
        <f>+E26+E27</f>
        <v>231490846</v>
      </c>
      <c r="F24" s="1">
        <f t="shared" si="1"/>
        <v>146821654</v>
      </c>
      <c r="G24" s="1"/>
      <c r="H24" s="1"/>
      <c r="I24" s="1"/>
      <c r="J24" s="1"/>
      <c r="K24" s="1"/>
      <c r="L24" s="1"/>
    </row>
    <row r="25" spans="2:12" ht="12.75">
      <c r="B25" s="1"/>
      <c r="C25" s="1"/>
      <c r="D25" s="7" t="s">
        <v>1</v>
      </c>
      <c r="E25" s="1"/>
      <c r="F25" s="7" t="s">
        <v>1</v>
      </c>
      <c r="G25" s="1"/>
      <c r="H25" s="1"/>
      <c r="I25" s="1"/>
      <c r="J25" s="1"/>
      <c r="K25" s="1"/>
      <c r="L25" s="1"/>
    </row>
    <row r="26" spans="1:12" ht="12.75">
      <c r="A26" s="55" t="s">
        <v>117</v>
      </c>
      <c r="B26" s="1">
        <v>60240000</v>
      </c>
      <c r="C26" s="1">
        <f>415000000-139000000-84000000</f>
        <v>192000000</v>
      </c>
      <c r="D26" s="1">
        <f t="shared" si="0"/>
        <v>252240000</v>
      </c>
      <c r="E26" s="1">
        <v>111422744</v>
      </c>
      <c r="F26" s="1">
        <f t="shared" si="1"/>
        <v>140817256</v>
      </c>
      <c r="G26" s="1"/>
      <c r="H26" s="1">
        <f>475240000-223000000</f>
        <v>252240000</v>
      </c>
      <c r="I26" s="1"/>
      <c r="J26" s="1"/>
      <c r="K26" s="1"/>
      <c r="L26" s="1"/>
    </row>
    <row r="27" spans="1:12" ht="12.75">
      <c r="A27" s="55" t="s">
        <v>118</v>
      </c>
      <c r="B27" s="1">
        <v>150272500</v>
      </c>
      <c r="C27" s="1">
        <f>-52500000+32000000-3700000</f>
        <v>-24200000</v>
      </c>
      <c r="D27" s="1">
        <f t="shared" si="0"/>
        <v>126072500</v>
      </c>
      <c r="E27" s="1">
        <v>120068102</v>
      </c>
      <c r="F27" s="1">
        <f t="shared" si="1"/>
        <v>6004398</v>
      </c>
      <c r="G27" s="1"/>
      <c r="H27" s="1">
        <f>182272500-56200000</f>
        <v>126072500</v>
      </c>
      <c r="I27" s="1"/>
      <c r="J27" s="1"/>
      <c r="K27" s="1"/>
      <c r="L27" s="1"/>
    </row>
    <row r="28" spans="2:12" ht="12.75">
      <c r="B28" s="1"/>
      <c r="C28" s="1"/>
      <c r="D28" s="7" t="s">
        <v>1</v>
      </c>
      <c r="E28" s="1"/>
      <c r="F28" s="7" t="s">
        <v>1</v>
      </c>
      <c r="G28" s="1"/>
      <c r="H28" s="1">
        <f>+H26+H27</f>
        <v>378312500</v>
      </c>
      <c r="I28" s="1"/>
      <c r="J28" s="1"/>
      <c r="K28" s="1"/>
      <c r="L28" s="1"/>
    </row>
    <row r="29" spans="1:12" ht="12.75">
      <c r="A29" s="55" t="s">
        <v>119</v>
      </c>
      <c r="B29" s="1">
        <f>SUM(B31:B39)</f>
        <v>838339281</v>
      </c>
      <c r="C29" s="1">
        <f>SUM(C31:C39)</f>
        <v>-66000000</v>
      </c>
      <c r="D29" s="1">
        <f>SUM(D31:D39)</f>
        <v>772339281</v>
      </c>
      <c r="E29" s="1">
        <f>SUM(E31:E39)</f>
        <v>747797131</v>
      </c>
      <c r="F29" s="1">
        <f t="shared" si="1"/>
        <v>24542150</v>
      </c>
      <c r="G29" s="1"/>
      <c r="H29" s="1"/>
      <c r="I29" s="1"/>
      <c r="J29" s="1"/>
      <c r="K29" s="1"/>
      <c r="L29" s="1"/>
    </row>
    <row r="30" spans="2:12" ht="12.75">
      <c r="B30" s="1"/>
      <c r="C30" s="1"/>
      <c r="D30" s="1">
        <f t="shared" si="0"/>
        <v>0</v>
      </c>
      <c r="E30" s="1"/>
      <c r="F30" s="1">
        <f t="shared" si="1"/>
        <v>0</v>
      </c>
      <c r="G30" s="1"/>
      <c r="H30" s="1"/>
      <c r="I30" s="1"/>
      <c r="J30" s="1"/>
      <c r="K30" s="1"/>
      <c r="L30" s="1"/>
    </row>
    <row r="31" spans="1:12" ht="12.75">
      <c r="A31" s="55" t="s">
        <v>121</v>
      </c>
      <c r="B31" s="1">
        <v>186815351</v>
      </c>
      <c r="C31" s="1">
        <f>10000000+6000000</f>
        <v>16000000</v>
      </c>
      <c r="D31" s="1">
        <f t="shared" si="0"/>
        <v>202815351</v>
      </c>
      <c r="E31" s="1">
        <v>201812201</v>
      </c>
      <c r="F31" s="1">
        <f t="shared" si="1"/>
        <v>1003150</v>
      </c>
      <c r="G31" s="1"/>
      <c r="H31" s="1"/>
      <c r="I31" s="1"/>
      <c r="J31" s="1"/>
      <c r="K31" s="1"/>
      <c r="L31" s="1"/>
    </row>
    <row r="32" spans="1:12" ht="12.75">
      <c r="A32" s="55" t="s">
        <v>122</v>
      </c>
      <c r="B32" s="1">
        <v>87605500</v>
      </c>
      <c r="C32" s="1"/>
      <c r="D32" s="1">
        <f t="shared" si="0"/>
        <v>87605500</v>
      </c>
      <c r="E32" s="1">
        <v>86974952</v>
      </c>
      <c r="F32" s="1">
        <f t="shared" si="1"/>
        <v>630548</v>
      </c>
      <c r="G32" s="1"/>
      <c r="H32" s="1"/>
      <c r="I32" s="1"/>
      <c r="J32" s="1"/>
      <c r="K32" s="1"/>
      <c r="L32" s="1"/>
    </row>
    <row r="33" spans="1:12" ht="12.75">
      <c r="A33" s="55" t="s">
        <v>123</v>
      </c>
      <c r="B33" s="1">
        <v>57123000</v>
      </c>
      <c r="C33" s="1">
        <f>20000000-60000000</f>
        <v>-40000000</v>
      </c>
      <c r="D33" s="1">
        <f t="shared" si="0"/>
        <v>17123000</v>
      </c>
      <c r="E33" s="1">
        <v>16093678</v>
      </c>
      <c r="F33" s="1">
        <f t="shared" si="1"/>
        <v>1029322</v>
      </c>
      <c r="G33" s="1"/>
      <c r="H33" s="1"/>
      <c r="I33" s="1"/>
      <c r="J33" s="1"/>
      <c r="K33" s="1"/>
      <c r="L33" s="1"/>
    </row>
    <row r="34" spans="1:12" ht="12.75">
      <c r="A34" s="55" t="s">
        <v>124</v>
      </c>
      <c r="B34" s="1">
        <v>174659780</v>
      </c>
      <c r="C34" s="1"/>
      <c r="D34" s="1">
        <f t="shared" si="0"/>
        <v>174659780</v>
      </c>
      <c r="E34" s="1">
        <v>162483117</v>
      </c>
      <c r="F34" s="1">
        <f t="shared" si="1"/>
        <v>12176663</v>
      </c>
      <c r="G34" s="1"/>
      <c r="H34" s="1">
        <f>+D34-199736779</f>
        <v>-25076999</v>
      </c>
      <c r="I34" s="1"/>
      <c r="J34" s="1"/>
      <c r="K34" s="1"/>
      <c r="L34" s="1"/>
    </row>
    <row r="35" spans="1:12" ht="12.75">
      <c r="A35" s="55" t="s">
        <v>125</v>
      </c>
      <c r="B35" s="1">
        <v>73500000</v>
      </c>
      <c r="C35" s="1">
        <v>-22000000</v>
      </c>
      <c r="D35" s="1">
        <f t="shared" si="0"/>
        <v>51500000</v>
      </c>
      <c r="E35" s="1">
        <v>50929093</v>
      </c>
      <c r="F35" s="1">
        <f t="shared" si="1"/>
        <v>570907</v>
      </c>
      <c r="G35" s="1"/>
      <c r="H35" s="1">
        <v>23790220</v>
      </c>
      <c r="I35" s="1"/>
      <c r="J35" s="1">
        <f>+H35</f>
        <v>23790220</v>
      </c>
      <c r="K35" s="1">
        <f>+J35</f>
        <v>23790220</v>
      </c>
      <c r="L35" s="1"/>
    </row>
    <row r="36" spans="1:12" ht="12.75">
      <c r="A36" s="55" t="s">
        <v>126</v>
      </c>
      <c r="B36" s="1">
        <v>37700000</v>
      </c>
      <c r="C36" s="1">
        <v>-2000000</v>
      </c>
      <c r="D36" s="1">
        <f t="shared" si="0"/>
        <v>35700000</v>
      </c>
      <c r="E36" s="1">
        <v>34887478</v>
      </c>
      <c r="F36" s="1">
        <f t="shared" si="1"/>
        <v>812522</v>
      </c>
      <c r="G36" s="1"/>
      <c r="H36" s="1"/>
      <c r="I36" s="1"/>
      <c r="J36" s="1"/>
      <c r="K36" s="1"/>
      <c r="L36" s="1"/>
    </row>
    <row r="37" spans="1:12" ht="12.75">
      <c r="A37" s="55" t="s">
        <v>127</v>
      </c>
      <c r="B37" s="1">
        <v>126000000</v>
      </c>
      <c r="C37" s="1">
        <v>24000000</v>
      </c>
      <c r="D37" s="1">
        <f t="shared" si="0"/>
        <v>150000000</v>
      </c>
      <c r="E37" s="1">
        <v>142971368</v>
      </c>
      <c r="F37" s="1">
        <f t="shared" si="1"/>
        <v>7028632</v>
      </c>
      <c r="G37" s="1"/>
      <c r="H37" s="1"/>
      <c r="I37" s="1"/>
      <c r="J37" s="1"/>
      <c r="K37" s="1"/>
      <c r="L37" s="1"/>
    </row>
    <row r="38" spans="1:12" ht="12.75">
      <c r="A38" s="55" t="s">
        <v>128</v>
      </c>
      <c r="B38" s="1">
        <v>5000000</v>
      </c>
      <c r="C38" s="1">
        <v>-4000000</v>
      </c>
      <c r="D38" s="1">
        <f t="shared" si="0"/>
        <v>1000000</v>
      </c>
      <c r="E38" s="1">
        <v>602400</v>
      </c>
      <c r="F38" s="1">
        <f t="shared" si="1"/>
        <v>397600</v>
      </c>
      <c r="G38" s="1"/>
      <c r="H38" s="1"/>
      <c r="I38" s="1"/>
      <c r="J38" s="1"/>
      <c r="K38" s="1"/>
      <c r="L38" s="1"/>
    </row>
    <row r="39" spans="1:12" ht="12.75">
      <c r="A39" s="55" t="s">
        <v>129</v>
      </c>
      <c r="B39" s="1">
        <f>28350000+61585650</f>
        <v>89935650</v>
      </c>
      <c r="C39" s="1">
        <v>-38000000</v>
      </c>
      <c r="D39" s="1">
        <f t="shared" si="0"/>
        <v>51935650</v>
      </c>
      <c r="E39" s="1">
        <v>51042844</v>
      </c>
      <c r="F39" s="1">
        <f t="shared" si="1"/>
        <v>892806</v>
      </c>
      <c r="G39" s="1"/>
      <c r="H39" s="1"/>
      <c r="I39" s="1"/>
      <c r="J39" s="1"/>
      <c r="K39" s="1"/>
      <c r="L39" s="1"/>
    </row>
    <row r="40" spans="2:12" ht="12.75">
      <c r="B40" s="1"/>
      <c r="C40" s="1"/>
      <c r="D40" s="1">
        <f t="shared" si="0"/>
        <v>0</v>
      </c>
      <c r="E40" s="1"/>
      <c r="F40" s="1">
        <f t="shared" si="1"/>
        <v>0</v>
      </c>
      <c r="G40" s="1"/>
      <c r="H40" s="1"/>
      <c r="I40" s="1"/>
      <c r="J40" s="1"/>
      <c r="K40" s="1"/>
      <c r="L40" s="1"/>
    </row>
    <row r="41" spans="1:12" ht="12.75">
      <c r="A41" s="55" t="s">
        <v>130</v>
      </c>
      <c r="B41" s="1">
        <v>48719750</v>
      </c>
      <c r="C41" s="1">
        <v>10000000</v>
      </c>
      <c r="D41" s="1">
        <f t="shared" si="0"/>
        <v>58719750</v>
      </c>
      <c r="E41" s="1">
        <v>57152611</v>
      </c>
      <c r="F41" s="1">
        <f t="shared" si="1"/>
        <v>1567139</v>
      </c>
      <c r="G41" s="1"/>
      <c r="H41" s="1">
        <v>1423000</v>
      </c>
      <c r="I41" s="1"/>
      <c r="J41" s="1">
        <f>+H41+I41</f>
        <v>1423000</v>
      </c>
      <c r="K41" s="1">
        <f>+J41</f>
        <v>1423000</v>
      </c>
      <c r="L41" s="1"/>
    </row>
    <row r="42" spans="2:12" ht="12.75">
      <c r="B42" s="1"/>
      <c r="C42" s="1"/>
      <c r="D42" s="1">
        <f t="shared" si="0"/>
        <v>0</v>
      </c>
      <c r="E42" s="1"/>
      <c r="F42" s="1">
        <f t="shared" si="1"/>
        <v>0</v>
      </c>
      <c r="G42" s="1"/>
      <c r="H42" s="1"/>
      <c r="I42" s="1"/>
      <c r="J42" s="1"/>
      <c r="K42" s="1"/>
      <c r="L42" s="1"/>
    </row>
    <row r="43" spans="2:12" ht="12.75">
      <c r="B43" s="1"/>
      <c r="C43" s="1"/>
      <c r="D43" s="1">
        <f t="shared" si="0"/>
        <v>0</v>
      </c>
      <c r="E43" s="1"/>
      <c r="F43" s="1">
        <f t="shared" si="1"/>
        <v>0</v>
      </c>
      <c r="G43" s="1"/>
      <c r="H43" s="1"/>
      <c r="I43" s="1"/>
      <c r="J43" s="1"/>
      <c r="K43" s="1"/>
      <c r="L43" s="1"/>
    </row>
    <row r="44" spans="2:12" ht="12.75">
      <c r="B44" s="1"/>
      <c r="C44" s="1"/>
      <c r="D44" s="1">
        <f t="shared" si="0"/>
        <v>0</v>
      </c>
      <c r="E44" s="1"/>
      <c r="F44" s="1">
        <f t="shared" si="1"/>
        <v>0</v>
      </c>
      <c r="G44" s="1"/>
      <c r="H44" s="1"/>
      <c r="I44" s="1"/>
      <c r="J44" s="1"/>
      <c r="K44" s="1"/>
      <c r="L44" s="1"/>
    </row>
    <row r="45" spans="2:12" ht="12.75">
      <c r="B45" s="1"/>
      <c r="C45" s="1"/>
      <c r="D45" s="1">
        <f t="shared" si="0"/>
        <v>0</v>
      </c>
      <c r="E45" s="1"/>
      <c r="F45" s="1">
        <f t="shared" si="1"/>
        <v>0</v>
      </c>
      <c r="G45" s="1"/>
      <c r="H45" s="1"/>
      <c r="I45" s="1"/>
      <c r="J45" s="1"/>
      <c r="K45" s="1"/>
      <c r="L45" s="1"/>
    </row>
    <row r="46" spans="2:12" ht="12.75">
      <c r="B46" s="1"/>
      <c r="C46" s="1"/>
      <c r="D46" s="1">
        <f t="shared" si="0"/>
        <v>0</v>
      </c>
      <c r="E46" s="1"/>
      <c r="F46" s="1">
        <f t="shared" si="1"/>
        <v>0</v>
      </c>
      <c r="G46" s="1"/>
      <c r="H46" s="1"/>
      <c r="I46" s="1"/>
      <c r="J46" s="1"/>
      <c r="K46" s="1"/>
      <c r="L46" s="1"/>
    </row>
    <row r="47" spans="2:12" ht="12.75">
      <c r="B47" s="1"/>
      <c r="C47" s="1"/>
      <c r="D47" s="1">
        <f t="shared" si="0"/>
        <v>0</v>
      </c>
      <c r="E47" s="1"/>
      <c r="F47" s="1">
        <f t="shared" si="1"/>
        <v>0</v>
      </c>
      <c r="G47" s="1"/>
      <c r="H47" s="1"/>
      <c r="I47" s="1"/>
      <c r="J47" s="1"/>
      <c r="K47" s="1"/>
      <c r="L47" s="1"/>
    </row>
    <row r="48" spans="2:12" ht="12.75">
      <c r="B48" s="1"/>
      <c r="C48" s="1"/>
      <c r="D48" s="1">
        <f t="shared" si="0"/>
        <v>0</v>
      </c>
      <c r="E48" s="1"/>
      <c r="F48" s="1">
        <f t="shared" si="1"/>
        <v>0</v>
      </c>
      <c r="G48" s="1"/>
      <c r="H48" s="1"/>
      <c r="I48" s="1"/>
      <c r="J48" s="1"/>
      <c r="K48" s="1"/>
      <c r="L48" s="1"/>
    </row>
    <row r="49" spans="2:12" ht="12.75">
      <c r="B49" s="1"/>
      <c r="C49" s="1"/>
      <c r="D49" s="1">
        <f t="shared" si="0"/>
        <v>0</v>
      </c>
      <c r="E49" s="1"/>
      <c r="F49" s="1">
        <f t="shared" si="1"/>
        <v>0</v>
      </c>
      <c r="G49" s="1"/>
      <c r="H49" s="1"/>
      <c r="I49" s="1"/>
      <c r="J49" s="1"/>
      <c r="K49" s="1"/>
      <c r="L49" s="1"/>
    </row>
    <row r="50" spans="2:12" ht="12.75">
      <c r="B50" s="1"/>
      <c r="C50" s="1"/>
      <c r="D50" s="1">
        <f t="shared" si="0"/>
        <v>0</v>
      </c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>
        <f t="shared" si="0"/>
        <v>0</v>
      </c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>
        <f t="shared" si="0"/>
        <v>0</v>
      </c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>
        <f t="shared" si="0"/>
        <v>0</v>
      </c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>
        <f t="shared" si="0"/>
        <v>0</v>
      </c>
      <c r="E54" s="1"/>
      <c r="F54" s="1"/>
      <c r="G54" s="1"/>
      <c r="H54" s="1"/>
      <c r="I54" s="1"/>
      <c r="J54" s="1"/>
      <c r="K54" s="1"/>
      <c r="L54" s="1"/>
    </row>
    <row r="55" spans="2:12" ht="12.75">
      <c r="B55" s="1"/>
      <c r="C55" s="1"/>
      <c r="D55" s="1">
        <f t="shared" si="0"/>
        <v>0</v>
      </c>
      <c r="E55" s="1"/>
      <c r="F55" s="1"/>
      <c r="G55" s="1"/>
      <c r="H55" s="1"/>
      <c r="I55" s="1"/>
      <c r="J55" s="1"/>
      <c r="K55" s="1"/>
      <c r="L55" s="1"/>
    </row>
    <row r="56" spans="2:12" ht="12.75">
      <c r="B56" s="1"/>
      <c r="C56" s="1"/>
      <c r="D56" s="1">
        <f t="shared" si="0"/>
        <v>0</v>
      </c>
      <c r="E56" s="1"/>
      <c r="F56" s="1"/>
      <c r="G56" s="1"/>
      <c r="H56" s="1"/>
      <c r="I56" s="1"/>
      <c r="J56" s="1"/>
      <c r="K56" s="1"/>
      <c r="L56" s="1"/>
    </row>
    <row r="57" spans="2:12" ht="12.75">
      <c r="B57" s="1"/>
      <c r="C57" s="1"/>
      <c r="D57" s="1">
        <f t="shared" si="0"/>
        <v>0</v>
      </c>
      <c r="E57" s="1"/>
      <c r="F57" s="1"/>
      <c r="G57" s="1"/>
      <c r="H57" s="1"/>
      <c r="I57" s="1"/>
      <c r="J57" s="1"/>
      <c r="K57" s="1"/>
      <c r="L57" s="1"/>
    </row>
    <row r="58" spans="2:12" ht="12.75">
      <c r="B58" s="1"/>
      <c r="C58" s="1"/>
      <c r="D58" s="1">
        <f t="shared" si="0"/>
        <v>0</v>
      </c>
      <c r="E58" s="1"/>
      <c r="F58" s="1"/>
      <c r="G58" s="1"/>
      <c r="H58" s="1"/>
      <c r="I58" s="1"/>
      <c r="J58" s="1"/>
      <c r="K58" s="1"/>
      <c r="L58" s="1"/>
    </row>
    <row r="59" spans="2:12" ht="12.75">
      <c r="B59" s="1"/>
      <c r="C59" s="1"/>
      <c r="D59" s="1">
        <f t="shared" si="0"/>
        <v>0</v>
      </c>
      <c r="E59" s="1"/>
      <c r="F59" s="1"/>
      <c r="G59" s="1"/>
      <c r="H59" s="1"/>
      <c r="I59" s="1"/>
      <c r="J59" s="1"/>
      <c r="K59" s="1"/>
      <c r="L59" s="1"/>
    </row>
    <row r="60" spans="2:12" ht="12.75">
      <c r="B60" s="1"/>
      <c r="C60" s="1"/>
      <c r="D60" s="1">
        <f t="shared" si="0"/>
        <v>0</v>
      </c>
      <c r="E60" s="1"/>
      <c r="F60" s="1"/>
      <c r="G60" s="1"/>
      <c r="H60" s="1"/>
      <c r="I60" s="1"/>
      <c r="J60" s="1"/>
      <c r="K60" s="1"/>
      <c r="L60" s="1"/>
    </row>
    <row r="61" spans="2:12" ht="12.75">
      <c r="B61" s="1"/>
      <c r="C61" s="1"/>
      <c r="D61" s="1">
        <f t="shared" si="0"/>
        <v>0</v>
      </c>
      <c r="E61" s="1"/>
      <c r="F61" s="1"/>
      <c r="G61" s="1"/>
      <c r="H61" s="1"/>
      <c r="I61" s="1"/>
      <c r="J61" s="1"/>
      <c r="K61" s="1"/>
      <c r="L61" s="1"/>
    </row>
    <row r="62" spans="2:12" ht="12.75">
      <c r="B62" s="1"/>
      <c r="C62" s="1"/>
      <c r="D62" s="1">
        <f t="shared" si="0"/>
        <v>0</v>
      </c>
      <c r="E62" s="1"/>
      <c r="F62" s="1"/>
      <c r="G62" s="1"/>
      <c r="H62" s="1"/>
      <c r="I62" s="1"/>
      <c r="J62" s="1"/>
      <c r="K62" s="1"/>
      <c r="L62" s="1"/>
    </row>
    <row r="63" spans="2:12" ht="12.75">
      <c r="B63" s="1"/>
      <c r="C63" s="1"/>
      <c r="D63" s="1">
        <f t="shared" si="0"/>
        <v>0</v>
      </c>
      <c r="E63" s="1"/>
      <c r="F63" s="1"/>
      <c r="G63" s="1"/>
      <c r="H63" s="1"/>
      <c r="I63" s="1"/>
      <c r="J63" s="1"/>
      <c r="K63" s="1"/>
      <c r="L63" s="1"/>
    </row>
    <row r="64" spans="2:12" ht="12.75">
      <c r="B64" s="1"/>
      <c r="C64" s="1"/>
      <c r="D64" s="1">
        <f t="shared" si="0"/>
        <v>0</v>
      </c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>
        <f t="shared" si="0"/>
        <v>0</v>
      </c>
      <c r="E65" s="1"/>
      <c r="F65" s="1"/>
      <c r="G65" s="1"/>
      <c r="H65" s="1"/>
      <c r="I65" s="1"/>
      <c r="J65" s="1"/>
      <c r="K65" s="1"/>
      <c r="L65" s="1"/>
    </row>
    <row r="66" spans="2:12" ht="12.75">
      <c r="B66" s="1"/>
      <c r="C66" s="1"/>
      <c r="D66" s="1">
        <f t="shared" si="0"/>
        <v>0</v>
      </c>
      <c r="E66" s="1"/>
      <c r="F66" s="1"/>
      <c r="G66" s="1"/>
      <c r="H66" s="1"/>
      <c r="I66" s="1"/>
      <c r="J66" s="1"/>
      <c r="K66" s="1"/>
      <c r="L66" s="1"/>
    </row>
    <row r="67" spans="2:12" ht="12.75">
      <c r="B67" s="1"/>
      <c r="C67" s="1"/>
      <c r="D67" s="1">
        <f t="shared" si="0"/>
        <v>0</v>
      </c>
      <c r="E67" s="1"/>
      <c r="F67" s="1"/>
      <c r="G67" s="1"/>
      <c r="H67" s="1"/>
      <c r="I67" s="1"/>
      <c r="J67" s="1"/>
      <c r="K67" s="1"/>
      <c r="L67" s="1"/>
    </row>
    <row r="68" spans="2:12" ht="12.75">
      <c r="B68" s="1"/>
      <c r="C68" s="1"/>
      <c r="D68" s="1">
        <f t="shared" si="0"/>
        <v>0</v>
      </c>
      <c r="E68" s="1"/>
      <c r="F68" s="1"/>
      <c r="G68" s="1"/>
      <c r="H68" s="1"/>
      <c r="I68" s="1"/>
      <c r="J68" s="1"/>
      <c r="K68" s="1"/>
      <c r="L68" s="1"/>
    </row>
    <row r="69" spans="2:12" ht="12.75">
      <c r="B69" s="1"/>
      <c r="C69" s="1"/>
      <c r="D69" s="1">
        <f t="shared" si="0"/>
        <v>0</v>
      </c>
      <c r="E69" s="1"/>
      <c r="F69" s="1"/>
      <c r="G69" s="1"/>
      <c r="H69" s="1"/>
      <c r="I69" s="1"/>
      <c r="J69" s="1"/>
      <c r="K69" s="1"/>
      <c r="L69" s="1"/>
    </row>
    <row r="70" spans="2:12" ht="12.75">
      <c r="B70" s="1"/>
      <c r="C70" s="1"/>
      <c r="D70" s="1">
        <f aca="true" t="shared" si="3" ref="D70:D92">+B70+C70</f>
        <v>0</v>
      </c>
      <c r="E70" s="1"/>
      <c r="F70" s="1"/>
      <c r="G70" s="1"/>
      <c r="H70" s="1"/>
      <c r="I70" s="1"/>
      <c r="J70" s="1"/>
      <c r="K70" s="1"/>
      <c r="L70" s="1"/>
    </row>
    <row r="71" spans="2:12" ht="12.75">
      <c r="B71" s="1"/>
      <c r="C71" s="1"/>
      <c r="D71" s="1">
        <f t="shared" si="3"/>
        <v>0</v>
      </c>
      <c r="E71" s="1"/>
      <c r="F71" s="1"/>
      <c r="G71" s="1"/>
      <c r="H71" s="1"/>
      <c r="I71" s="1"/>
      <c r="J71" s="1"/>
      <c r="K71" s="1"/>
      <c r="L71" s="1"/>
    </row>
    <row r="72" spans="2:12" ht="12.75">
      <c r="B72" s="1"/>
      <c r="C72" s="1"/>
      <c r="D72" s="1">
        <f t="shared" si="3"/>
        <v>0</v>
      </c>
      <c r="E72" s="1"/>
      <c r="F72" s="1"/>
      <c r="G72" s="1"/>
      <c r="H72" s="1"/>
      <c r="I72" s="1"/>
      <c r="J72" s="1"/>
      <c r="K72" s="1"/>
      <c r="L72" s="1"/>
    </row>
    <row r="73" spans="2:12" ht="12.75">
      <c r="B73" s="1"/>
      <c r="C73" s="1"/>
      <c r="D73" s="1">
        <f t="shared" si="3"/>
        <v>0</v>
      </c>
      <c r="E73" s="1"/>
      <c r="F73" s="1"/>
      <c r="G73" s="1"/>
      <c r="H73" s="1"/>
      <c r="I73" s="1"/>
      <c r="J73" s="1"/>
      <c r="K73" s="1"/>
      <c r="L73" s="1"/>
    </row>
    <row r="74" spans="2:12" ht="12.75">
      <c r="B74" s="1"/>
      <c r="C74" s="1"/>
      <c r="D74" s="1">
        <f t="shared" si="3"/>
        <v>0</v>
      </c>
      <c r="E74" s="1"/>
      <c r="F74" s="1"/>
      <c r="G74" s="1"/>
      <c r="H74" s="1"/>
      <c r="I74" s="1"/>
      <c r="J74" s="1"/>
      <c r="K74" s="1"/>
      <c r="L74" s="1"/>
    </row>
    <row r="75" spans="2:12" ht="12.75">
      <c r="B75" s="1"/>
      <c r="C75" s="1"/>
      <c r="D75" s="1">
        <f t="shared" si="3"/>
        <v>0</v>
      </c>
      <c r="E75" s="1"/>
      <c r="F75" s="1"/>
      <c r="G75" s="1"/>
      <c r="H75" s="1"/>
      <c r="I75" s="1"/>
      <c r="J75" s="1"/>
      <c r="K75" s="1"/>
      <c r="L75" s="1"/>
    </row>
    <row r="76" spans="2:12" ht="12.75">
      <c r="B76" s="1"/>
      <c r="C76" s="1"/>
      <c r="D76" s="1">
        <f t="shared" si="3"/>
        <v>0</v>
      </c>
      <c r="E76" s="1"/>
      <c r="F76" s="1"/>
      <c r="G76" s="1"/>
      <c r="H76" s="1"/>
      <c r="I76" s="1"/>
      <c r="J76" s="1"/>
      <c r="K76" s="1"/>
      <c r="L76" s="1"/>
    </row>
    <row r="77" spans="2:12" ht="12.75">
      <c r="B77" s="1"/>
      <c r="C77" s="1"/>
      <c r="D77" s="1">
        <f t="shared" si="3"/>
        <v>0</v>
      </c>
      <c r="E77" s="1"/>
      <c r="F77" s="1"/>
      <c r="G77" s="1"/>
      <c r="H77" s="1"/>
      <c r="I77" s="1"/>
      <c r="J77" s="1"/>
      <c r="K77" s="1"/>
      <c r="L77" s="1"/>
    </row>
    <row r="78" spans="2:12" ht="12.75">
      <c r="B78" s="1"/>
      <c r="C78" s="1"/>
      <c r="D78" s="1">
        <f t="shared" si="3"/>
        <v>0</v>
      </c>
      <c r="E78" s="1"/>
      <c r="F78" s="1"/>
      <c r="G78" s="1"/>
      <c r="H78" s="1"/>
      <c r="I78" s="1"/>
      <c r="J78" s="1"/>
      <c r="K78" s="1"/>
      <c r="L78" s="1"/>
    </row>
    <row r="79" spans="2:12" ht="12.75">
      <c r="B79" s="1"/>
      <c r="C79" s="1"/>
      <c r="D79" s="1">
        <f t="shared" si="3"/>
        <v>0</v>
      </c>
      <c r="E79" s="1"/>
      <c r="F79" s="1"/>
      <c r="G79" s="1"/>
      <c r="H79" s="1"/>
      <c r="I79" s="1"/>
      <c r="J79" s="1"/>
      <c r="K79" s="1"/>
      <c r="L79" s="1"/>
    </row>
    <row r="80" spans="2:12" ht="12.75">
      <c r="B80" s="1"/>
      <c r="C80" s="1"/>
      <c r="D80" s="1">
        <f t="shared" si="3"/>
        <v>0</v>
      </c>
      <c r="E80" s="1"/>
      <c r="F80" s="1"/>
      <c r="G80" s="1"/>
      <c r="H80" s="1"/>
      <c r="I80" s="1"/>
      <c r="J80" s="1"/>
      <c r="K80" s="1"/>
      <c r="L80" s="1"/>
    </row>
    <row r="81" spans="2:12" ht="12.75">
      <c r="B81" s="1"/>
      <c r="C81" s="1"/>
      <c r="D81" s="1">
        <f t="shared" si="3"/>
        <v>0</v>
      </c>
      <c r="E81" s="1"/>
      <c r="F81" s="1"/>
      <c r="G81" s="1"/>
      <c r="H81" s="1"/>
      <c r="I81" s="1"/>
      <c r="J81" s="1"/>
      <c r="K81" s="1"/>
      <c r="L81" s="1"/>
    </row>
    <row r="82" spans="2:12" ht="12.75">
      <c r="B82" s="1"/>
      <c r="C82" s="1"/>
      <c r="D82" s="1">
        <f t="shared" si="3"/>
        <v>0</v>
      </c>
      <c r="E82" s="1"/>
      <c r="F82" s="1"/>
      <c r="G82" s="1"/>
      <c r="H82" s="1"/>
      <c r="I82" s="1"/>
      <c r="J82" s="1"/>
      <c r="K82" s="1"/>
      <c r="L82" s="1"/>
    </row>
    <row r="83" spans="2:12" ht="12.75">
      <c r="B83" s="1"/>
      <c r="C83" s="1"/>
      <c r="D83" s="1">
        <f t="shared" si="3"/>
        <v>0</v>
      </c>
      <c r="E83" s="1"/>
      <c r="F83" s="1"/>
      <c r="G83" s="1"/>
      <c r="H83" s="1"/>
      <c r="I83" s="1"/>
      <c r="J83" s="1"/>
      <c r="K83" s="1"/>
      <c r="L83" s="1"/>
    </row>
    <row r="84" spans="2:12" ht="12.75">
      <c r="B84" s="1"/>
      <c r="C84" s="1"/>
      <c r="D84" s="1">
        <f t="shared" si="3"/>
        <v>0</v>
      </c>
      <c r="E84" s="1"/>
      <c r="F84" s="1"/>
      <c r="G84" s="1"/>
      <c r="H84" s="1"/>
      <c r="I84" s="1"/>
      <c r="J84" s="1"/>
      <c r="K84" s="1"/>
      <c r="L84" s="1"/>
    </row>
    <row r="85" spans="2:12" ht="12.75">
      <c r="B85" s="1"/>
      <c r="C85" s="1"/>
      <c r="D85" s="1">
        <f t="shared" si="3"/>
        <v>0</v>
      </c>
      <c r="E85" s="1"/>
      <c r="F85" s="1"/>
      <c r="G85" s="1"/>
      <c r="H85" s="1"/>
      <c r="I85" s="1"/>
      <c r="J85" s="1"/>
      <c r="K85" s="1"/>
      <c r="L85" s="1"/>
    </row>
    <row r="86" spans="2:12" ht="12.75">
      <c r="B86" s="1"/>
      <c r="C86" s="1"/>
      <c r="D86" s="1">
        <f t="shared" si="3"/>
        <v>0</v>
      </c>
      <c r="E86" s="1"/>
      <c r="F86" s="1"/>
      <c r="G86" s="1"/>
      <c r="H86" s="1"/>
      <c r="I86" s="1"/>
      <c r="J86" s="1"/>
      <c r="K86" s="1"/>
      <c r="L86" s="1"/>
    </row>
    <row r="87" spans="2:12" ht="12.75">
      <c r="B87" s="1"/>
      <c r="C87" s="1"/>
      <c r="D87" s="1">
        <f t="shared" si="3"/>
        <v>0</v>
      </c>
      <c r="E87" s="1"/>
      <c r="F87" s="1"/>
      <c r="G87" s="1"/>
      <c r="H87" s="1"/>
      <c r="I87" s="1"/>
      <c r="J87" s="1"/>
      <c r="K87" s="1"/>
      <c r="L87" s="1"/>
    </row>
    <row r="88" spans="2:12" ht="12.75">
      <c r="B88" s="1"/>
      <c r="C88" s="1"/>
      <c r="D88" s="1">
        <f t="shared" si="3"/>
        <v>0</v>
      </c>
      <c r="E88" s="1"/>
      <c r="F88" s="1"/>
      <c r="G88" s="1"/>
      <c r="H88" s="1"/>
      <c r="I88" s="1"/>
      <c r="J88" s="1"/>
      <c r="K88" s="1"/>
      <c r="L88" s="1"/>
    </row>
    <row r="89" spans="2:12" ht="12.75">
      <c r="B89" s="1"/>
      <c r="C89" s="1"/>
      <c r="D89" s="1">
        <f t="shared" si="3"/>
        <v>0</v>
      </c>
      <c r="E89" s="1"/>
      <c r="F89" s="1"/>
      <c r="G89" s="1"/>
      <c r="H89" s="1"/>
      <c r="I89" s="1"/>
      <c r="J89" s="1"/>
      <c r="K89" s="1"/>
      <c r="L89" s="1"/>
    </row>
    <row r="90" spans="2:12" ht="12.75">
      <c r="B90" s="1"/>
      <c r="C90" s="1"/>
      <c r="D90" s="1">
        <f t="shared" si="3"/>
        <v>0</v>
      </c>
      <c r="E90" s="1"/>
      <c r="F90" s="1"/>
      <c r="G90" s="1"/>
      <c r="H90" s="1"/>
      <c r="I90" s="1"/>
      <c r="J90" s="1"/>
      <c r="K90" s="1"/>
      <c r="L90" s="1"/>
    </row>
    <row r="91" spans="2:12" ht="12.75">
      <c r="B91" s="1"/>
      <c r="C91" s="1"/>
      <c r="D91" s="1">
        <f t="shared" si="3"/>
        <v>0</v>
      </c>
      <c r="E91" s="1"/>
      <c r="F91" s="1"/>
      <c r="G91" s="1"/>
      <c r="H91" s="1"/>
      <c r="I91" s="1"/>
      <c r="J91" s="1"/>
      <c r="K91" s="1"/>
      <c r="L91" s="1"/>
    </row>
    <row r="92" spans="2:12" ht="12.75">
      <c r="B92" s="1"/>
      <c r="C92" s="1"/>
      <c r="D92" s="1">
        <f t="shared" si="3"/>
        <v>0</v>
      </c>
      <c r="E92" s="1"/>
      <c r="F92" s="1"/>
      <c r="G92" s="1"/>
      <c r="H92" s="1"/>
      <c r="I92" s="1"/>
      <c r="J92" s="1"/>
      <c r="K92" s="1"/>
      <c r="L92" s="1"/>
    </row>
    <row r="93" spans="2:1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81"/>
  <sheetViews>
    <sheetView zoomScaleSheetLayoutView="100" zoomScalePageLayoutView="0" workbookViewId="0" topLeftCell="A36">
      <selection activeCell="AD5" sqref="AD5:AE8"/>
    </sheetView>
  </sheetViews>
  <sheetFormatPr defaultColWidth="11.421875" defaultRowHeight="12.75"/>
  <cols>
    <col min="1" max="1" width="3.421875" style="0" customWidth="1"/>
    <col min="2" max="2" width="4.8515625" style="0" customWidth="1"/>
    <col min="3" max="3" width="6.7109375" style="0" customWidth="1"/>
    <col min="4" max="4" width="3.7109375" style="0" customWidth="1"/>
    <col min="5" max="5" width="30.00390625" style="0" customWidth="1"/>
    <col min="6" max="6" width="18.140625" style="0" customWidth="1"/>
    <col min="7" max="7" width="19.421875" style="0" customWidth="1"/>
    <col min="8" max="8" width="17.8515625" style="1" customWidth="1"/>
    <col min="9" max="9" width="19.00390625" style="0" hidden="1" customWidth="1"/>
    <col min="10" max="10" width="12.7109375" style="0" hidden="1" customWidth="1"/>
    <col min="11" max="11" width="18.8515625" style="0" hidden="1" customWidth="1"/>
    <col min="12" max="12" width="17.8515625" style="0" hidden="1" customWidth="1"/>
    <col min="13" max="13" width="17.140625" style="0" hidden="1" customWidth="1"/>
    <col min="14" max="14" width="16.8515625" style="0" hidden="1" customWidth="1"/>
    <col min="15" max="15" width="13.140625" style="0" hidden="1" customWidth="1"/>
    <col min="16" max="16" width="17.140625" style="0" hidden="1" customWidth="1"/>
    <col min="17" max="20" width="16.00390625" style="0" hidden="1" customWidth="1"/>
    <col min="21" max="21" width="16.8515625" style="0" hidden="1" customWidth="1"/>
    <col min="22" max="22" width="19.00390625" style="0" hidden="1" customWidth="1"/>
    <col min="23" max="23" width="16.8515625" style="0" hidden="1" customWidth="1"/>
    <col min="24" max="25" width="16.7109375" style="0" hidden="1" customWidth="1"/>
    <col min="26" max="26" width="17.8515625" style="0" customWidth="1"/>
    <col min="27" max="27" width="16.140625" style="0" customWidth="1"/>
    <col min="28" max="28" width="16.28125" style="0" hidden="1" customWidth="1"/>
    <col min="29" max="29" width="16.7109375" style="0" customWidth="1"/>
    <col min="30" max="30" width="17.8515625" style="1" customWidth="1"/>
    <col min="31" max="31" width="22.8515625" style="0" customWidth="1"/>
    <col min="32" max="32" width="28.7109375" style="0" customWidth="1"/>
    <col min="33" max="33" width="14.140625" style="0" customWidth="1"/>
    <col min="34" max="34" width="13.8515625" style="0" customWidth="1"/>
  </cols>
  <sheetData>
    <row r="1" spans="1:29" ht="12.75">
      <c r="A1" s="125"/>
      <c r="B1" s="126"/>
      <c r="C1" s="127" t="s">
        <v>1</v>
      </c>
      <c r="D1" s="128" t="s">
        <v>1</v>
      </c>
      <c r="E1" s="160" t="s">
        <v>0</v>
      </c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29"/>
    </row>
    <row r="2" spans="1:29" ht="12.75">
      <c r="A2" s="130"/>
      <c r="B2" s="2"/>
      <c r="C2" s="47" t="s">
        <v>1</v>
      </c>
      <c r="D2" s="48" t="s">
        <v>1</v>
      </c>
      <c r="E2" s="159" t="s">
        <v>169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31"/>
    </row>
    <row r="3" spans="1:29" ht="12.75">
      <c r="A3" s="130"/>
      <c r="B3" s="2"/>
      <c r="C3" s="2"/>
      <c r="D3" s="2"/>
      <c r="E3" s="48"/>
      <c r="F3" s="48"/>
      <c r="G3" s="48" t="s">
        <v>1</v>
      </c>
      <c r="H3" s="9" t="s">
        <v>1</v>
      </c>
      <c r="I3" s="49" t="s">
        <v>1</v>
      </c>
      <c r="J3" s="12"/>
      <c r="K3" s="12"/>
      <c r="L3" s="12"/>
      <c r="M3" s="12"/>
      <c r="N3" s="12"/>
      <c r="O3" s="49"/>
      <c r="P3" s="49"/>
      <c r="Q3" s="49"/>
      <c r="R3" s="49"/>
      <c r="S3" s="49"/>
      <c r="T3" s="49"/>
      <c r="U3" s="13" t="s">
        <v>1</v>
      </c>
      <c r="V3" s="15"/>
      <c r="W3" s="15"/>
      <c r="X3" s="2"/>
      <c r="Y3" s="2"/>
      <c r="Z3" s="2"/>
      <c r="AA3" s="2"/>
      <c r="AB3" s="2"/>
      <c r="AC3" s="131"/>
    </row>
    <row r="4" spans="1:29" ht="12.75">
      <c r="A4" s="130"/>
      <c r="B4" s="2"/>
      <c r="C4" s="2"/>
      <c r="D4" s="2"/>
      <c r="E4" s="48"/>
      <c r="F4" s="2"/>
      <c r="G4" s="8" t="s">
        <v>1</v>
      </c>
      <c r="H4" s="9" t="s">
        <v>1</v>
      </c>
      <c r="I4" s="50" t="s">
        <v>1</v>
      </c>
      <c r="J4" s="12"/>
      <c r="K4" s="12"/>
      <c r="L4" s="12"/>
      <c r="M4" s="12"/>
      <c r="N4" s="12"/>
      <c r="O4" s="51"/>
      <c r="P4" s="51"/>
      <c r="Q4" s="51"/>
      <c r="R4" s="51"/>
      <c r="S4" s="51"/>
      <c r="T4" s="51"/>
      <c r="U4" s="11" t="s">
        <v>1</v>
      </c>
      <c r="V4" s="15"/>
      <c r="W4" s="15"/>
      <c r="X4" s="2"/>
      <c r="Y4" s="2"/>
      <c r="Z4" s="2"/>
      <c r="AA4" s="4" t="s">
        <v>1</v>
      </c>
      <c r="AB4" s="2"/>
      <c r="AC4" s="131"/>
    </row>
    <row r="5" spans="1:29" ht="38.25" customHeight="1">
      <c r="A5" s="132"/>
      <c r="B5" s="36"/>
      <c r="C5" s="37"/>
      <c r="D5" s="37"/>
      <c r="E5" s="38" t="s">
        <v>25</v>
      </c>
      <c r="F5" s="39" t="s">
        <v>70</v>
      </c>
      <c r="G5" s="40" t="s">
        <v>2</v>
      </c>
      <c r="H5" s="40" t="s">
        <v>71</v>
      </c>
      <c r="I5" s="42"/>
      <c r="J5" s="23"/>
      <c r="K5" s="42"/>
      <c r="L5" s="42"/>
      <c r="M5" s="42"/>
      <c r="N5" s="42" t="s">
        <v>1</v>
      </c>
      <c r="O5" s="42"/>
      <c r="P5" s="43"/>
      <c r="Q5" s="42"/>
      <c r="R5" s="42"/>
      <c r="S5" s="42"/>
      <c r="T5" s="42"/>
      <c r="U5" s="42" t="s">
        <v>1</v>
      </c>
      <c r="V5" s="42"/>
      <c r="W5" s="44"/>
      <c r="X5" s="45" t="s">
        <v>72</v>
      </c>
      <c r="Y5" s="45" t="s">
        <v>76</v>
      </c>
      <c r="Z5" s="46" t="s">
        <v>35</v>
      </c>
      <c r="AA5" s="46" t="s">
        <v>83</v>
      </c>
      <c r="AB5" s="46" t="s">
        <v>73</v>
      </c>
      <c r="AC5" s="133" t="s">
        <v>47</v>
      </c>
    </row>
    <row r="6" spans="1:32" ht="38.25" customHeight="1">
      <c r="A6" s="132"/>
      <c r="B6" s="36"/>
      <c r="C6" s="37"/>
      <c r="D6" s="37"/>
      <c r="E6" s="117"/>
      <c r="F6" s="39"/>
      <c r="G6" s="40"/>
      <c r="H6" s="40" t="s">
        <v>1</v>
      </c>
      <c r="I6" s="42"/>
      <c r="J6" s="23"/>
      <c r="K6" s="42"/>
      <c r="L6" s="42"/>
      <c r="M6" s="42"/>
      <c r="N6" s="42"/>
      <c r="O6" s="42"/>
      <c r="P6" s="43"/>
      <c r="Q6" s="42"/>
      <c r="R6" s="42"/>
      <c r="S6" s="42"/>
      <c r="T6" s="42"/>
      <c r="U6" s="42"/>
      <c r="V6" s="42"/>
      <c r="W6" s="44"/>
      <c r="X6" s="45"/>
      <c r="Y6" s="45"/>
      <c r="Z6" s="46"/>
      <c r="AA6" s="46"/>
      <c r="AB6" s="46"/>
      <c r="AC6" s="133"/>
      <c r="AF6" s="55"/>
    </row>
    <row r="7" spans="1:36" ht="22.5" customHeight="1">
      <c r="A7" s="60" t="s">
        <v>24</v>
      </c>
      <c r="B7" s="5"/>
      <c r="C7" s="17"/>
      <c r="D7" s="6"/>
      <c r="E7" s="110" t="s">
        <v>154</v>
      </c>
      <c r="F7" s="93">
        <f>1742000000+0</f>
        <v>1742000000</v>
      </c>
      <c r="G7" s="93">
        <f>693752201+909671930+200000000+69218708+277713467+2286533</f>
        <v>2152642839</v>
      </c>
      <c r="H7" s="24">
        <f>+F7+G7</f>
        <v>3894642839</v>
      </c>
      <c r="I7" s="21"/>
      <c r="J7" s="23"/>
      <c r="K7" s="21"/>
      <c r="L7" s="21"/>
      <c r="M7" s="21"/>
      <c r="N7" s="21"/>
      <c r="O7" s="21"/>
      <c r="P7" s="22"/>
      <c r="Q7" s="21"/>
      <c r="R7" s="21"/>
      <c r="S7" s="21"/>
      <c r="T7" s="21"/>
      <c r="U7" s="22"/>
      <c r="V7" s="21"/>
      <c r="W7" s="24"/>
      <c r="X7" s="91"/>
      <c r="Y7" s="91">
        <v>3214239602</v>
      </c>
      <c r="Z7" s="118">
        <v>3702189782</v>
      </c>
      <c r="AA7" s="79">
        <f aca="true" t="shared" si="0" ref="AA7:AA19">+H7-Z7</f>
        <v>192453057</v>
      </c>
      <c r="AB7" s="80">
        <f aca="true" t="shared" si="1" ref="AB7:AB19">+X7/H7*100</f>
        <v>0</v>
      </c>
      <c r="AC7" s="134">
        <f aca="true" t="shared" si="2" ref="AC7:AC17">+Z7/H7*100</f>
        <v>95.05851845841107</v>
      </c>
      <c r="AD7" s="7"/>
      <c r="AE7" s="1"/>
      <c r="AF7" s="25"/>
      <c r="AG7" s="25"/>
      <c r="AH7" s="25"/>
      <c r="AI7" s="25"/>
      <c r="AJ7" s="25"/>
    </row>
    <row r="8" spans="1:36" ht="22.5" customHeight="1">
      <c r="A8" s="60" t="s">
        <v>24</v>
      </c>
      <c r="B8" s="5"/>
      <c r="C8" s="17"/>
      <c r="D8" s="6"/>
      <c r="E8" s="110" t="s">
        <v>155</v>
      </c>
      <c r="F8" s="93">
        <f>4451034381+0</f>
        <v>4451034381</v>
      </c>
      <c r="G8" s="93">
        <f>540863200+881892465+979738025+12000000+18661115+53196674</f>
        <v>2486351479</v>
      </c>
      <c r="H8" s="24">
        <f aca="true" t="shared" si="3" ref="H8:H19">+F8+G8</f>
        <v>6937385860</v>
      </c>
      <c r="I8" s="21"/>
      <c r="J8" s="23"/>
      <c r="K8" s="21"/>
      <c r="L8" s="21"/>
      <c r="M8" s="21"/>
      <c r="N8" s="21"/>
      <c r="O8" s="21"/>
      <c r="P8" s="22"/>
      <c r="Q8" s="21"/>
      <c r="R8" s="21"/>
      <c r="S8" s="21"/>
      <c r="T8" s="21"/>
      <c r="U8" s="22"/>
      <c r="V8" s="21"/>
      <c r="W8" s="24"/>
      <c r="X8" s="91"/>
      <c r="Y8" s="91">
        <v>4419101489</v>
      </c>
      <c r="Z8" s="118">
        <v>6819058251</v>
      </c>
      <c r="AA8" s="79">
        <f t="shared" si="0"/>
        <v>118327609</v>
      </c>
      <c r="AB8" s="80">
        <f t="shared" si="1"/>
        <v>0</v>
      </c>
      <c r="AC8" s="134">
        <f t="shared" si="2"/>
        <v>98.29434874478785</v>
      </c>
      <c r="AD8" s="7"/>
      <c r="AE8" s="1"/>
      <c r="AF8" s="25"/>
      <c r="AG8" s="25"/>
      <c r="AH8" s="25"/>
      <c r="AI8" s="25"/>
      <c r="AJ8" s="25"/>
    </row>
    <row r="9" spans="1:36" ht="22.5" customHeight="1">
      <c r="A9" s="60" t="s">
        <v>24</v>
      </c>
      <c r="B9" s="5"/>
      <c r="C9" s="17"/>
      <c r="D9" s="6"/>
      <c r="E9" s="110" t="s">
        <v>156</v>
      </c>
      <c r="F9" s="93">
        <v>1391137675</v>
      </c>
      <c r="G9" s="93">
        <v>874215</v>
      </c>
      <c r="H9" s="24">
        <f t="shared" si="3"/>
        <v>1392011890</v>
      </c>
      <c r="I9" s="21"/>
      <c r="J9" s="23"/>
      <c r="K9" s="21"/>
      <c r="L9" s="21"/>
      <c r="M9" s="21"/>
      <c r="N9" s="21"/>
      <c r="O9" s="21"/>
      <c r="P9" s="22"/>
      <c r="Q9" s="21"/>
      <c r="R9" s="21"/>
      <c r="S9" s="21"/>
      <c r="T9" s="21"/>
      <c r="U9" s="22"/>
      <c r="V9" s="21"/>
      <c r="W9" s="24"/>
      <c r="X9" s="91"/>
      <c r="Y9" s="91">
        <v>1177233207</v>
      </c>
      <c r="Z9" s="118">
        <v>1392006834</v>
      </c>
      <c r="AA9" s="79">
        <f t="shared" si="0"/>
        <v>5056</v>
      </c>
      <c r="AB9" s="80">
        <f t="shared" si="1"/>
        <v>0</v>
      </c>
      <c r="AC9" s="134">
        <f t="shared" si="2"/>
        <v>99.99963678471165</v>
      </c>
      <c r="AD9" s="7"/>
      <c r="AE9" s="1"/>
      <c r="AF9" s="25"/>
      <c r="AG9" s="25"/>
      <c r="AH9" s="25"/>
      <c r="AI9" s="25"/>
      <c r="AJ9" s="25"/>
    </row>
    <row r="10" spans="1:36" ht="22.5" customHeight="1">
      <c r="A10" s="60" t="s">
        <v>24</v>
      </c>
      <c r="B10" s="5"/>
      <c r="C10" s="17"/>
      <c r="D10" s="6"/>
      <c r="E10" s="110" t="s">
        <v>157</v>
      </c>
      <c r="F10" s="93">
        <f>1425000000+0</f>
        <v>1425000000</v>
      </c>
      <c r="G10" s="93">
        <f>99601594-100000000+100000000+116537518-100000000</f>
        <v>116139112</v>
      </c>
      <c r="H10" s="24">
        <f t="shared" si="3"/>
        <v>1541139112</v>
      </c>
      <c r="I10" s="21"/>
      <c r="J10" s="23"/>
      <c r="K10" s="21"/>
      <c r="L10" s="21"/>
      <c r="M10" s="21"/>
      <c r="N10" s="21"/>
      <c r="O10" s="21"/>
      <c r="P10" s="22"/>
      <c r="Q10" s="21"/>
      <c r="R10" s="21"/>
      <c r="S10" s="21"/>
      <c r="T10" s="21"/>
      <c r="U10" s="22"/>
      <c r="V10" s="21"/>
      <c r="W10" s="24"/>
      <c r="X10" s="91"/>
      <c r="Y10" s="91">
        <v>105456683</v>
      </c>
      <c r="Z10" s="118">
        <v>1490208991</v>
      </c>
      <c r="AA10" s="79">
        <f t="shared" si="0"/>
        <v>50930121</v>
      </c>
      <c r="AB10" s="80">
        <f t="shared" si="1"/>
        <v>0</v>
      </c>
      <c r="AC10" s="134">
        <f t="shared" si="2"/>
        <v>96.69529372115501</v>
      </c>
      <c r="AD10" s="7"/>
      <c r="AE10" s="1"/>
      <c r="AF10" s="25"/>
      <c r="AG10" s="25"/>
      <c r="AH10" s="25"/>
      <c r="AI10" s="25"/>
      <c r="AJ10" s="25"/>
    </row>
    <row r="11" spans="1:36" ht="22.5" customHeight="1">
      <c r="A11" s="60" t="s">
        <v>24</v>
      </c>
      <c r="B11" s="5"/>
      <c r="C11" s="17"/>
      <c r="D11" s="6"/>
      <c r="E11" s="110" t="s">
        <v>158</v>
      </c>
      <c r="F11" s="93">
        <f>1203342537+0</f>
        <v>1203342537</v>
      </c>
      <c r="G11" s="93">
        <f>-128260000+30000000+63000000+65260000+170954462</f>
        <v>200954462</v>
      </c>
      <c r="H11" s="24">
        <f t="shared" si="3"/>
        <v>1404296999</v>
      </c>
      <c r="I11" s="21"/>
      <c r="J11" s="23"/>
      <c r="K11" s="21"/>
      <c r="L11" s="21"/>
      <c r="M11" s="21"/>
      <c r="N11" s="21"/>
      <c r="O11" s="21"/>
      <c r="P11" s="22"/>
      <c r="Q11" s="21"/>
      <c r="R11" s="21"/>
      <c r="S11" s="21"/>
      <c r="T11" s="21"/>
      <c r="U11" s="22"/>
      <c r="V11" s="21"/>
      <c r="W11" s="24"/>
      <c r="X11" s="91"/>
      <c r="Y11" s="91">
        <v>589361612</v>
      </c>
      <c r="Z11" s="118">
        <v>1238670816</v>
      </c>
      <c r="AA11" s="79">
        <f t="shared" si="0"/>
        <v>165626183</v>
      </c>
      <c r="AB11" s="80">
        <f t="shared" si="1"/>
        <v>0</v>
      </c>
      <c r="AC11" s="134">
        <f t="shared" si="2"/>
        <v>88.20575824644342</v>
      </c>
      <c r="AD11" s="7"/>
      <c r="AE11" s="1"/>
      <c r="AF11" s="25"/>
      <c r="AG11" s="25"/>
      <c r="AH11" s="25"/>
      <c r="AI11" s="25"/>
      <c r="AJ11" s="25"/>
    </row>
    <row r="12" spans="1:36" ht="22.5" customHeight="1">
      <c r="A12" s="60" t="s">
        <v>24</v>
      </c>
      <c r="B12" s="5"/>
      <c r="C12" s="17"/>
      <c r="D12" s="6"/>
      <c r="E12" s="110" t="s">
        <v>159</v>
      </c>
      <c r="F12" s="93">
        <f>700000000+0</f>
        <v>700000000</v>
      </c>
      <c r="G12" s="93">
        <f>20000000+3728552934-3728552394+100432040</f>
        <v>120432580</v>
      </c>
      <c r="H12" s="24">
        <f t="shared" si="3"/>
        <v>820432580</v>
      </c>
      <c r="I12" s="21"/>
      <c r="J12" s="23"/>
      <c r="K12" s="21"/>
      <c r="L12" s="21"/>
      <c r="M12" s="21"/>
      <c r="N12" s="21"/>
      <c r="O12" s="21"/>
      <c r="P12" s="22"/>
      <c r="Q12" s="21"/>
      <c r="R12" s="21"/>
      <c r="S12" s="21"/>
      <c r="T12" s="21"/>
      <c r="U12" s="22"/>
      <c r="V12" s="21"/>
      <c r="W12" s="24"/>
      <c r="X12" s="91"/>
      <c r="Y12" s="91">
        <v>4620016737</v>
      </c>
      <c r="Z12" s="118">
        <v>781482420</v>
      </c>
      <c r="AA12" s="79">
        <f t="shared" si="0"/>
        <v>38950160</v>
      </c>
      <c r="AB12" s="80">
        <f t="shared" si="1"/>
        <v>0</v>
      </c>
      <c r="AC12" s="134">
        <f t="shared" si="2"/>
        <v>95.25248497566979</v>
      </c>
      <c r="AD12" s="7"/>
      <c r="AE12" s="1"/>
      <c r="AF12" s="25"/>
      <c r="AG12" s="25"/>
      <c r="AH12" s="25"/>
      <c r="AI12" s="25"/>
      <c r="AJ12" s="25"/>
    </row>
    <row r="13" spans="1:36" ht="22.5" customHeight="1">
      <c r="A13" s="60" t="s">
        <v>24</v>
      </c>
      <c r="B13" s="5"/>
      <c r="C13" s="17"/>
      <c r="D13" s="6"/>
      <c r="E13" s="110" t="s">
        <v>166</v>
      </c>
      <c r="F13" s="93">
        <v>0</v>
      </c>
      <c r="G13" s="93">
        <v>3728552394</v>
      </c>
      <c r="H13" s="24">
        <f>+F13+G13</f>
        <v>3728552394</v>
      </c>
      <c r="I13" s="21"/>
      <c r="J13" s="23"/>
      <c r="K13" s="21"/>
      <c r="L13" s="21"/>
      <c r="M13" s="21"/>
      <c r="N13" s="21"/>
      <c r="O13" s="21"/>
      <c r="P13" s="22"/>
      <c r="Q13" s="21"/>
      <c r="R13" s="21"/>
      <c r="S13" s="21"/>
      <c r="T13" s="21"/>
      <c r="U13" s="22"/>
      <c r="V13" s="21"/>
      <c r="W13" s="24"/>
      <c r="X13" s="91"/>
      <c r="Y13" s="91">
        <v>4620016737</v>
      </c>
      <c r="Z13" s="118">
        <v>2442754271</v>
      </c>
      <c r="AA13" s="79">
        <f t="shared" si="0"/>
        <v>1285798123</v>
      </c>
      <c r="AB13" s="80">
        <f t="shared" si="1"/>
        <v>0</v>
      </c>
      <c r="AC13" s="134">
        <f t="shared" si="2"/>
        <v>65.51481682088976</v>
      </c>
      <c r="AD13" s="7"/>
      <c r="AE13" s="1"/>
      <c r="AF13" s="25"/>
      <c r="AG13" s="25"/>
      <c r="AH13" s="25"/>
      <c r="AI13" s="25"/>
      <c r="AJ13" s="25"/>
    </row>
    <row r="14" spans="1:36" ht="22.5" customHeight="1">
      <c r="A14" s="60" t="s">
        <v>24</v>
      </c>
      <c r="B14" s="5"/>
      <c r="C14" s="17"/>
      <c r="D14" s="6"/>
      <c r="E14" s="110" t="s">
        <v>160</v>
      </c>
      <c r="F14" s="93">
        <f>500000000+0</f>
        <v>500000000</v>
      </c>
      <c r="G14" s="93">
        <f>-53000000+53000000</f>
        <v>0</v>
      </c>
      <c r="H14" s="24">
        <f t="shared" si="3"/>
        <v>500000000</v>
      </c>
      <c r="I14" s="21"/>
      <c r="J14" s="23"/>
      <c r="K14" s="21"/>
      <c r="L14" s="21"/>
      <c r="M14" s="21"/>
      <c r="N14" s="21"/>
      <c r="O14" s="21"/>
      <c r="P14" s="22"/>
      <c r="Q14" s="21"/>
      <c r="R14" s="21"/>
      <c r="S14" s="21"/>
      <c r="T14" s="21"/>
      <c r="U14" s="22"/>
      <c r="V14" s="21"/>
      <c r="W14" s="24"/>
      <c r="X14" s="91"/>
      <c r="Y14" s="91">
        <v>850659482</v>
      </c>
      <c r="Z14" s="118">
        <v>499883299</v>
      </c>
      <c r="AA14" s="79">
        <f t="shared" si="0"/>
        <v>116701</v>
      </c>
      <c r="AB14" s="80">
        <f t="shared" si="1"/>
        <v>0</v>
      </c>
      <c r="AC14" s="134">
        <f t="shared" si="2"/>
        <v>99.97665980000001</v>
      </c>
      <c r="AD14" s="7"/>
      <c r="AE14" s="1"/>
      <c r="AF14" s="25"/>
      <c r="AG14" s="25"/>
      <c r="AH14" s="25"/>
      <c r="AI14" s="25"/>
      <c r="AJ14" s="25"/>
    </row>
    <row r="15" spans="1:36" ht="22.5" customHeight="1">
      <c r="A15" s="60" t="s">
        <v>24</v>
      </c>
      <c r="B15" s="5"/>
      <c r="C15" s="17"/>
      <c r="D15" s="6"/>
      <c r="E15" s="110" t="s">
        <v>161</v>
      </c>
      <c r="F15" s="93">
        <f>2379994504+0</f>
        <v>2379994504</v>
      </c>
      <c r="G15" s="93">
        <v>443974400</v>
      </c>
      <c r="H15" s="24">
        <f t="shared" si="3"/>
        <v>2823968904</v>
      </c>
      <c r="I15" s="21"/>
      <c r="J15" s="23"/>
      <c r="K15" s="21"/>
      <c r="L15" s="21"/>
      <c r="M15" s="21"/>
      <c r="N15" s="21"/>
      <c r="O15" s="21"/>
      <c r="P15" s="22"/>
      <c r="Q15" s="21"/>
      <c r="R15" s="21"/>
      <c r="S15" s="21"/>
      <c r="T15" s="21"/>
      <c r="U15" s="22"/>
      <c r="V15" s="21"/>
      <c r="W15" s="24"/>
      <c r="X15" s="91"/>
      <c r="Y15" s="91">
        <v>169389594</v>
      </c>
      <c r="Z15" s="118">
        <f>2789124040-12580000</f>
        <v>2776544040</v>
      </c>
      <c r="AA15" s="79">
        <f t="shared" si="0"/>
        <v>47424864</v>
      </c>
      <c r="AB15" s="80">
        <f t="shared" si="1"/>
        <v>0</v>
      </c>
      <c r="AC15" s="134">
        <f t="shared" si="2"/>
        <v>98.32063079969382</v>
      </c>
      <c r="AD15" s="7"/>
      <c r="AE15" s="1"/>
      <c r="AF15" s="25"/>
      <c r="AG15" s="25"/>
      <c r="AH15" s="25"/>
      <c r="AI15" s="25"/>
      <c r="AJ15" s="25"/>
    </row>
    <row r="16" spans="1:36" ht="22.5" customHeight="1">
      <c r="A16" s="60" t="s">
        <v>24</v>
      </c>
      <c r="B16" s="5"/>
      <c r="C16" s="17"/>
      <c r="D16" s="6"/>
      <c r="E16" s="110" t="s">
        <v>162</v>
      </c>
      <c r="F16" s="93">
        <f>596500000+0</f>
        <v>596500000</v>
      </c>
      <c r="G16" s="93">
        <f>-418729200+210229200+313444894</f>
        <v>104944894</v>
      </c>
      <c r="H16" s="24">
        <f t="shared" si="3"/>
        <v>701444894</v>
      </c>
      <c r="I16" s="21"/>
      <c r="J16" s="23"/>
      <c r="K16" s="21"/>
      <c r="L16" s="21"/>
      <c r="M16" s="21"/>
      <c r="N16" s="21"/>
      <c r="O16" s="21"/>
      <c r="P16" s="22"/>
      <c r="Q16" s="21"/>
      <c r="R16" s="21"/>
      <c r="S16" s="21"/>
      <c r="T16" s="21"/>
      <c r="U16" s="22"/>
      <c r="V16" s="21"/>
      <c r="W16" s="24"/>
      <c r="X16" s="91"/>
      <c r="Y16" s="91">
        <v>218654899</v>
      </c>
      <c r="Z16" s="118">
        <v>506191530</v>
      </c>
      <c r="AA16" s="79">
        <f t="shared" si="0"/>
        <v>195253364</v>
      </c>
      <c r="AB16" s="80">
        <f t="shared" si="1"/>
        <v>0</v>
      </c>
      <c r="AC16" s="134">
        <f t="shared" si="2"/>
        <v>72.16411928147843</v>
      </c>
      <c r="AD16" s="7"/>
      <c r="AE16" s="1"/>
      <c r="AF16" s="25"/>
      <c r="AG16" s="25"/>
      <c r="AH16" s="25"/>
      <c r="AI16" s="25"/>
      <c r="AJ16" s="25"/>
    </row>
    <row r="17" spans="1:36" ht="22.5" customHeight="1">
      <c r="A17" s="60" t="s">
        <v>24</v>
      </c>
      <c r="B17" s="5"/>
      <c r="C17" s="17"/>
      <c r="D17" s="6"/>
      <c r="E17" s="110" t="s">
        <v>163</v>
      </c>
      <c r="F17" s="93">
        <f>926000000+0</f>
        <v>926000000</v>
      </c>
      <c r="G17" s="93">
        <f>214218708+100000000-269218708</f>
        <v>45000000</v>
      </c>
      <c r="H17" s="24">
        <f t="shared" si="3"/>
        <v>971000000</v>
      </c>
      <c r="I17" s="21"/>
      <c r="J17" s="23"/>
      <c r="K17" s="21"/>
      <c r="L17" s="21"/>
      <c r="M17" s="21"/>
      <c r="N17" s="21"/>
      <c r="O17" s="21"/>
      <c r="P17" s="22"/>
      <c r="Q17" s="21"/>
      <c r="R17" s="21"/>
      <c r="S17" s="21"/>
      <c r="T17" s="21"/>
      <c r="U17" s="22"/>
      <c r="V17" s="21"/>
      <c r="W17" s="24"/>
      <c r="X17" s="91"/>
      <c r="Y17" s="91">
        <v>1180795963</v>
      </c>
      <c r="Z17" s="118">
        <v>955528232</v>
      </c>
      <c r="AA17" s="79">
        <f t="shared" si="0"/>
        <v>15471768</v>
      </c>
      <c r="AB17" s="80">
        <f t="shared" si="1"/>
        <v>0</v>
      </c>
      <c r="AC17" s="134">
        <f t="shared" si="2"/>
        <v>98.40661503604532</v>
      </c>
      <c r="AD17" s="7"/>
      <c r="AE17" s="1"/>
      <c r="AF17" s="25"/>
      <c r="AG17" s="25"/>
      <c r="AH17" s="25"/>
      <c r="AI17" s="25"/>
      <c r="AJ17" s="25"/>
    </row>
    <row r="18" spans="1:36" ht="22.5" customHeight="1">
      <c r="A18" s="60" t="s">
        <v>24</v>
      </c>
      <c r="B18" s="5"/>
      <c r="C18" s="17"/>
      <c r="D18" s="6"/>
      <c r="E18" s="110" t="s">
        <v>164</v>
      </c>
      <c r="F18" s="93">
        <f>1679443034+0</f>
        <v>1679443034</v>
      </c>
      <c r="G18" s="93">
        <f>83250101+86255250-280000000</f>
        <v>-110494649</v>
      </c>
      <c r="H18" s="24">
        <f t="shared" si="3"/>
        <v>1568948385</v>
      </c>
      <c r="I18" s="21"/>
      <c r="J18" s="23"/>
      <c r="K18" s="21"/>
      <c r="L18" s="21"/>
      <c r="M18" s="21"/>
      <c r="N18" s="21"/>
      <c r="O18" s="21"/>
      <c r="P18" s="22"/>
      <c r="Q18" s="21"/>
      <c r="R18" s="21"/>
      <c r="S18" s="21"/>
      <c r="T18" s="21"/>
      <c r="U18" s="22"/>
      <c r="V18" s="21"/>
      <c r="W18" s="24"/>
      <c r="X18" s="91"/>
      <c r="Y18" s="91"/>
      <c r="Z18" s="118">
        <v>1493044188</v>
      </c>
      <c r="AA18" s="79">
        <f t="shared" si="0"/>
        <v>75904197</v>
      </c>
      <c r="AB18" s="80">
        <f t="shared" si="1"/>
        <v>0</v>
      </c>
      <c r="AC18" s="135" t="s">
        <v>1</v>
      </c>
      <c r="AD18" s="7"/>
      <c r="AE18" s="1"/>
      <c r="AF18" s="25"/>
      <c r="AG18" s="25"/>
      <c r="AH18" s="25"/>
      <c r="AI18" s="25"/>
      <c r="AJ18" s="25"/>
    </row>
    <row r="19" spans="1:36" ht="22.5" customHeight="1">
      <c r="A19" s="60" t="s">
        <v>24</v>
      </c>
      <c r="B19" s="5"/>
      <c r="C19" s="17"/>
      <c r="D19" s="6"/>
      <c r="E19" s="110" t="s">
        <v>165</v>
      </c>
      <c r="F19" s="93">
        <f>1420000000+0</f>
        <v>1420000000</v>
      </c>
      <c r="G19" s="93">
        <f>-534626201+703302583+333640467</f>
        <v>502316849</v>
      </c>
      <c r="H19" s="24">
        <f t="shared" si="3"/>
        <v>1922316849</v>
      </c>
      <c r="I19" s="61">
        <f aca="true" t="shared" si="4" ref="I19:Y19">SUM(I7:I18)</f>
        <v>0</v>
      </c>
      <c r="J19" s="61">
        <f t="shared" si="4"/>
        <v>0</v>
      </c>
      <c r="K19" s="61">
        <f t="shared" si="4"/>
        <v>0</v>
      </c>
      <c r="L19" s="61">
        <f t="shared" si="4"/>
        <v>0</v>
      </c>
      <c r="M19" s="61">
        <f t="shared" si="4"/>
        <v>0</v>
      </c>
      <c r="N19" s="61">
        <f t="shared" si="4"/>
        <v>0</v>
      </c>
      <c r="O19" s="61">
        <f t="shared" si="4"/>
        <v>0</v>
      </c>
      <c r="P19" s="61">
        <f t="shared" si="4"/>
        <v>0</v>
      </c>
      <c r="Q19" s="61">
        <f t="shared" si="4"/>
        <v>0</v>
      </c>
      <c r="R19" s="61">
        <f t="shared" si="4"/>
        <v>0</v>
      </c>
      <c r="S19" s="61">
        <f t="shared" si="4"/>
        <v>0</v>
      </c>
      <c r="T19" s="61">
        <f t="shared" si="4"/>
        <v>0</v>
      </c>
      <c r="U19" s="61">
        <f t="shared" si="4"/>
        <v>0</v>
      </c>
      <c r="V19" s="61">
        <f t="shared" si="4"/>
        <v>0</v>
      </c>
      <c r="W19" s="61">
        <f t="shared" si="4"/>
        <v>0</v>
      </c>
      <c r="X19" s="61">
        <f t="shared" si="4"/>
        <v>0</v>
      </c>
      <c r="Y19" s="61">
        <f t="shared" si="4"/>
        <v>21164926005</v>
      </c>
      <c r="Z19" s="118">
        <v>1889267261</v>
      </c>
      <c r="AA19" s="79">
        <f t="shared" si="0"/>
        <v>33049588</v>
      </c>
      <c r="AB19" s="80">
        <f t="shared" si="1"/>
        <v>0</v>
      </c>
      <c r="AC19" s="134">
        <f>+Z19/H19*100</f>
        <v>98.2807419069758</v>
      </c>
      <c r="AD19" s="7"/>
      <c r="AE19" s="1"/>
      <c r="AF19" s="25"/>
      <c r="AG19" s="25"/>
      <c r="AH19" s="25"/>
      <c r="AI19" s="25"/>
      <c r="AJ19" s="25"/>
    </row>
    <row r="20" spans="1:36" ht="22.5" customHeight="1">
      <c r="A20" s="60" t="s">
        <v>1</v>
      </c>
      <c r="B20" s="5"/>
      <c r="C20" s="17"/>
      <c r="D20" s="6"/>
      <c r="E20" s="62"/>
      <c r="F20" s="61"/>
      <c r="G20" s="57" t="s">
        <v>1</v>
      </c>
      <c r="H20" s="24" t="s">
        <v>1</v>
      </c>
      <c r="I20" s="21"/>
      <c r="J20" s="23"/>
      <c r="K20" s="21"/>
      <c r="L20" s="21"/>
      <c r="M20" s="21"/>
      <c r="N20" s="21"/>
      <c r="O20" s="21"/>
      <c r="P20" s="22"/>
      <c r="Q20" s="21"/>
      <c r="R20" s="21"/>
      <c r="S20" s="21"/>
      <c r="T20" s="21"/>
      <c r="U20" s="21"/>
      <c r="V20" s="21"/>
      <c r="W20" s="24"/>
      <c r="X20" s="11"/>
      <c r="Y20" s="11"/>
      <c r="Z20" s="11"/>
      <c r="AA20" s="79">
        <v>0</v>
      </c>
      <c r="AB20" s="16" t="s">
        <v>1</v>
      </c>
      <c r="AC20" s="135" t="s">
        <v>1</v>
      </c>
      <c r="AD20" s="7"/>
      <c r="AE20" s="1"/>
      <c r="AF20" s="25"/>
      <c r="AG20" s="25"/>
      <c r="AH20" s="25"/>
      <c r="AI20" s="25"/>
      <c r="AJ20" s="25"/>
    </row>
    <row r="21" spans="1:36" ht="22.5" customHeight="1" thickBot="1">
      <c r="A21" s="63"/>
      <c r="B21" s="64"/>
      <c r="C21" s="65"/>
      <c r="D21" s="66"/>
      <c r="E21" s="67" t="s">
        <v>69</v>
      </c>
      <c r="F21" s="68">
        <f>SUM(F7:F19)</f>
        <v>18414452131</v>
      </c>
      <c r="G21" s="68">
        <f>SUM(G7:G19)</f>
        <v>9791688575</v>
      </c>
      <c r="H21" s="68">
        <f>SUM(H7:H19)</f>
        <v>28206140706</v>
      </c>
      <c r="I21" s="68" t="e">
        <f>+I19+#REF!</f>
        <v>#REF!</v>
      </c>
      <c r="J21" s="68" t="e">
        <f>+J19+#REF!</f>
        <v>#REF!</v>
      </c>
      <c r="K21" s="68" t="e">
        <f>+K19+#REF!</f>
        <v>#REF!</v>
      </c>
      <c r="L21" s="68" t="e">
        <f>+L19+#REF!</f>
        <v>#REF!</v>
      </c>
      <c r="M21" s="68" t="e">
        <f>+M19+#REF!</f>
        <v>#REF!</v>
      </c>
      <c r="N21" s="68" t="e">
        <f>+N19+#REF!</f>
        <v>#REF!</v>
      </c>
      <c r="O21" s="68" t="e">
        <f>+O19+#REF!</f>
        <v>#REF!</v>
      </c>
      <c r="P21" s="68" t="e">
        <f>+P19+#REF!</f>
        <v>#REF!</v>
      </c>
      <c r="Q21" s="68" t="e">
        <f>+Q19+#REF!</f>
        <v>#REF!</v>
      </c>
      <c r="R21" s="68" t="e">
        <f>+R19+#REF!</f>
        <v>#REF!</v>
      </c>
      <c r="S21" s="68" t="e">
        <f>+S19+#REF!</f>
        <v>#REF!</v>
      </c>
      <c r="T21" s="68" t="e">
        <f>+T19+#REF!</f>
        <v>#REF!</v>
      </c>
      <c r="U21" s="68" t="e">
        <f>+U19+#REF!</f>
        <v>#REF!</v>
      </c>
      <c r="V21" s="68" t="e">
        <f>+V19+#REF!</f>
        <v>#REF!</v>
      </c>
      <c r="W21" s="68" t="e">
        <f>+W19+#REF!</f>
        <v>#REF!</v>
      </c>
      <c r="X21" s="68" t="e">
        <f>+X19+#REF!</f>
        <v>#REF!</v>
      </c>
      <c r="Y21" s="68" t="e">
        <f>+Y19+#REF!</f>
        <v>#REF!</v>
      </c>
      <c r="Z21" s="68">
        <f>SUM(Z7:Z19)</f>
        <v>25986829915</v>
      </c>
      <c r="AA21" s="136">
        <f>+H21-Z21</f>
        <v>2219310791</v>
      </c>
      <c r="AB21" s="137" t="e">
        <f>+X21/H21*100</f>
        <v>#REF!</v>
      </c>
      <c r="AC21" s="138">
        <f>+Z21/H21*100</f>
        <v>92.13181691840632</v>
      </c>
      <c r="AD21" s="7"/>
      <c r="AE21" s="1"/>
      <c r="AF21" s="25"/>
      <c r="AG21" s="25"/>
      <c r="AH21" s="25"/>
      <c r="AI21" s="25"/>
      <c r="AJ21" s="25"/>
    </row>
    <row r="22" spans="6:36" ht="12.75">
      <c r="F22" s="34" t="s">
        <v>1</v>
      </c>
      <c r="G22" s="34"/>
      <c r="H22" s="7"/>
      <c r="Z22" s="34"/>
      <c r="AA22" s="34" t="s">
        <v>1</v>
      </c>
      <c r="AB22" s="52"/>
      <c r="AC22" s="52" t="s">
        <v>1</v>
      </c>
      <c r="AE22" s="1"/>
      <c r="AF22" s="25"/>
      <c r="AG22" s="25"/>
      <c r="AH22" s="25"/>
      <c r="AI22" s="25"/>
      <c r="AJ22" s="25"/>
    </row>
    <row r="23" spans="6:36" ht="12.75">
      <c r="F23" s="34" t="s">
        <v>1</v>
      </c>
      <c r="G23" s="7"/>
      <c r="H23" s="7"/>
      <c r="X23" s="25"/>
      <c r="Y23" s="25"/>
      <c r="Z23" s="34"/>
      <c r="AA23" s="25" t="s">
        <v>1</v>
      </c>
      <c r="AB23" s="25" t="e">
        <f>+H23-#REF!</f>
        <v>#REF!</v>
      </c>
      <c r="AE23" s="1"/>
      <c r="AF23" s="25"/>
      <c r="AG23" s="25"/>
      <c r="AH23" s="25"/>
      <c r="AI23" s="25"/>
      <c r="AJ23" s="25"/>
    </row>
    <row r="24" spans="7:36" ht="12.75">
      <c r="G24" s="7"/>
      <c r="H24" s="25">
        <f>+Z21+Z34</f>
        <v>30355649342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7">
        <v>121274384</v>
      </c>
      <c r="AA24" s="1">
        <f>+H24-Z24</f>
        <v>30234374958</v>
      </c>
      <c r="AB24" s="1"/>
      <c r="AC24" s="7">
        <f>+AA24+791076878</f>
        <v>31025451836</v>
      </c>
      <c r="AE24" s="1"/>
      <c r="AF24" s="25"/>
      <c r="AG24" s="25"/>
      <c r="AH24" s="25"/>
      <c r="AI24" s="25"/>
      <c r="AJ24" s="25"/>
    </row>
    <row r="25" spans="7:36" ht="12.75">
      <c r="G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E25" s="1"/>
      <c r="AF25" s="25"/>
      <c r="AG25" s="25"/>
      <c r="AH25" s="25"/>
      <c r="AI25" s="25"/>
      <c r="AJ25" s="25"/>
    </row>
    <row r="26" spans="1:36" ht="12.75">
      <c r="A26" s="2"/>
      <c r="B26" s="2"/>
      <c r="C26" s="2"/>
      <c r="D26" s="2"/>
      <c r="E26" s="161" t="s">
        <v>0</v>
      </c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3"/>
      <c r="AC26" s="53"/>
      <c r="AE26" s="1"/>
      <c r="AF26" s="25"/>
      <c r="AG26" s="25"/>
      <c r="AH26" s="25"/>
      <c r="AI26" s="25"/>
      <c r="AJ26" s="25"/>
    </row>
    <row r="27" spans="1:36" ht="12.75">
      <c r="A27" s="2"/>
      <c r="B27" s="2"/>
      <c r="C27" s="2"/>
      <c r="D27" s="2"/>
      <c r="E27" s="161" t="s">
        <v>170</v>
      </c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3"/>
      <c r="AC27" s="53"/>
      <c r="AE27" s="1"/>
      <c r="AF27" s="25"/>
      <c r="AG27" s="25"/>
      <c r="AH27" s="25"/>
      <c r="AI27" s="25"/>
      <c r="AJ27" s="25"/>
    </row>
    <row r="28" spans="1:36" ht="12.75">
      <c r="A28" s="2"/>
      <c r="B28" s="2"/>
      <c r="C28" s="2"/>
      <c r="D28" s="2"/>
      <c r="E28" s="32"/>
      <c r="F28" s="32"/>
      <c r="G28" s="4" t="s">
        <v>1</v>
      </c>
      <c r="H28" s="28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53"/>
      <c r="AE28" s="1"/>
      <c r="AF28" s="25"/>
      <c r="AG28" s="25"/>
      <c r="AH28" s="25"/>
      <c r="AI28" s="25"/>
      <c r="AJ28" s="25"/>
    </row>
    <row r="29" spans="1:36" ht="25.5">
      <c r="A29" s="2"/>
      <c r="B29" s="2"/>
      <c r="C29" s="2"/>
      <c r="D29" s="54"/>
      <c r="E29" s="69" t="s">
        <v>25</v>
      </c>
      <c r="F29" s="70" t="s">
        <v>70</v>
      </c>
      <c r="G29" s="41" t="s">
        <v>2</v>
      </c>
      <c r="H29" s="40" t="s">
        <v>71</v>
      </c>
      <c r="I29" s="42"/>
      <c r="J29" s="23"/>
      <c r="K29" s="42"/>
      <c r="L29" s="42"/>
      <c r="M29" s="42"/>
      <c r="N29" s="42" t="s">
        <v>1</v>
      </c>
      <c r="O29" s="42"/>
      <c r="P29" s="43"/>
      <c r="Q29" s="42"/>
      <c r="R29" s="42"/>
      <c r="S29" s="42"/>
      <c r="T29" s="42"/>
      <c r="U29" s="42" t="s">
        <v>1</v>
      </c>
      <c r="V29" s="42"/>
      <c r="W29" s="42"/>
      <c r="X29" s="45" t="s">
        <v>72</v>
      </c>
      <c r="Y29" s="45" t="s">
        <v>76</v>
      </c>
      <c r="Z29" s="46" t="s">
        <v>35</v>
      </c>
      <c r="AA29" s="46" t="s">
        <v>102</v>
      </c>
      <c r="AB29" s="46" t="s">
        <v>73</v>
      </c>
      <c r="AC29" s="46" t="s">
        <v>47</v>
      </c>
      <c r="AE29" s="1"/>
      <c r="AF29" s="25"/>
      <c r="AG29" s="25"/>
      <c r="AH29" s="25"/>
      <c r="AI29" s="25"/>
      <c r="AJ29" s="25"/>
    </row>
    <row r="30" spans="1:36" ht="12.75">
      <c r="A30" s="2"/>
      <c r="B30" s="2"/>
      <c r="C30" s="2"/>
      <c r="D30" s="2"/>
      <c r="E30" s="69"/>
      <c r="F30" s="70"/>
      <c r="G30" s="41"/>
      <c r="H30" s="40"/>
      <c r="I30" s="42"/>
      <c r="J30" s="23"/>
      <c r="K30" s="42"/>
      <c r="L30" s="42"/>
      <c r="M30" s="42"/>
      <c r="N30" s="42"/>
      <c r="O30" s="42"/>
      <c r="P30" s="43"/>
      <c r="Q30" s="42"/>
      <c r="R30" s="42"/>
      <c r="S30" s="42"/>
      <c r="T30" s="42"/>
      <c r="U30" s="42"/>
      <c r="V30" s="42"/>
      <c r="W30" s="42"/>
      <c r="X30" s="45"/>
      <c r="Y30" s="71"/>
      <c r="Z30" s="71"/>
      <c r="AA30" s="71"/>
      <c r="AB30" s="45"/>
      <c r="AC30" s="53"/>
      <c r="AE30" s="1"/>
      <c r="AF30" s="25"/>
      <c r="AG30" s="25"/>
      <c r="AH30" s="25"/>
      <c r="AI30" s="25"/>
      <c r="AJ30" s="25"/>
    </row>
    <row r="31" spans="1:36" ht="25.5">
      <c r="A31" s="8" t="s">
        <v>24</v>
      </c>
      <c r="B31" s="2">
        <v>213</v>
      </c>
      <c r="C31" s="2">
        <v>906</v>
      </c>
      <c r="D31" s="2">
        <v>1</v>
      </c>
      <c r="E31" s="72" t="s">
        <v>75</v>
      </c>
      <c r="F31" s="32">
        <v>1074086189</v>
      </c>
      <c r="G31" s="4">
        <v>0</v>
      </c>
      <c r="H31" s="28">
        <f>+F31+G31</f>
        <v>1074086189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>
        <f>+'[1]013-000-2-906-1'!$E$55-'[1]013-000-2-906-1'!$E$49-'[1]013-000-2-906-1'!$E$50</f>
        <v>-678923032</v>
      </c>
      <c r="Y31" s="94">
        <f>2431158628-88296411</f>
        <v>2342862217</v>
      </c>
      <c r="Z31" s="139">
        <v>893416196</v>
      </c>
      <c r="AA31" s="73">
        <f>+H31-Z31</f>
        <v>180669993</v>
      </c>
      <c r="AB31" s="28">
        <v>0</v>
      </c>
      <c r="AC31" s="53">
        <f>+Z31/H31*100</f>
        <v>83.17919038059617</v>
      </c>
      <c r="AE31" s="1"/>
      <c r="AF31" s="25"/>
      <c r="AG31" s="25"/>
      <c r="AH31" s="25"/>
      <c r="AI31" s="25"/>
      <c r="AJ31" s="25"/>
    </row>
    <row r="32" spans="1:36" ht="102">
      <c r="A32" s="2" t="s">
        <v>24</v>
      </c>
      <c r="B32" s="2">
        <v>213</v>
      </c>
      <c r="C32" s="2">
        <v>906</v>
      </c>
      <c r="D32" s="2">
        <v>2</v>
      </c>
      <c r="E32" s="142" t="s">
        <v>167</v>
      </c>
      <c r="F32" s="32"/>
      <c r="G32" s="32">
        <v>3500000000</v>
      </c>
      <c r="H32" s="28">
        <f>+G32</f>
        <v>3500000000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74"/>
      <c r="Z32" s="74">
        <v>3475403231</v>
      </c>
      <c r="AA32" s="73">
        <f>+H32-Z32</f>
        <v>24596769</v>
      </c>
      <c r="AB32" s="28"/>
      <c r="AC32" s="53">
        <f>+Z32/H32*100</f>
        <v>99.29723517142857</v>
      </c>
      <c r="AE32" s="1"/>
      <c r="AF32" s="25"/>
      <c r="AG32" s="25"/>
      <c r="AH32" s="25"/>
      <c r="AI32" s="25"/>
      <c r="AJ32" s="25"/>
    </row>
    <row r="33" spans="1:36" ht="12.75">
      <c r="A33" s="2"/>
      <c r="B33" s="2"/>
      <c r="C33" s="2"/>
      <c r="D33" s="2"/>
      <c r="E33" s="32"/>
      <c r="F33" s="32"/>
      <c r="G33" s="32"/>
      <c r="H33" s="28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74"/>
      <c r="Z33" s="74"/>
      <c r="AA33" s="73"/>
      <c r="AB33" s="28"/>
      <c r="AC33" s="53"/>
      <c r="AE33" s="1"/>
      <c r="AF33" s="25"/>
      <c r="AG33" s="25"/>
      <c r="AH33" s="25"/>
      <c r="AI33" s="25"/>
      <c r="AJ33" s="25"/>
    </row>
    <row r="34" spans="1:36" ht="12.75">
      <c r="A34" s="2"/>
      <c r="B34" s="2"/>
      <c r="C34" s="2"/>
      <c r="D34" s="2"/>
      <c r="E34" s="30" t="s">
        <v>69</v>
      </c>
      <c r="F34" s="30">
        <f>+F31</f>
        <v>1074086189</v>
      </c>
      <c r="G34" s="30">
        <f>+G32</f>
        <v>3500000000</v>
      </c>
      <c r="H34" s="75">
        <f>+H32+H31</f>
        <v>4574086189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>
        <f>+X31</f>
        <v>-678923032</v>
      </c>
      <c r="Y34" s="140">
        <f>+Y31</f>
        <v>2342862217</v>
      </c>
      <c r="Z34" s="140">
        <f>+Z31+Z32</f>
        <v>4368819427</v>
      </c>
      <c r="AA34" s="140">
        <f>+AA31+AA32</f>
        <v>205266762</v>
      </c>
      <c r="AB34" s="75">
        <f>+AB31</f>
        <v>0</v>
      </c>
      <c r="AC34" s="141">
        <f>+Z34/H34*100</f>
        <v>95.51239846565122</v>
      </c>
      <c r="AE34" s="1"/>
      <c r="AF34" s="25"/>
      <c r="AG34" s="25"/>
      <c r="AH34" s="25"/>
      <c r="AI34" s="25"/>
      <c r="AJ34" s="25"/>
    </row>
    <row r="35" spans="1:36" ht="12.75">
      <c r="A35" s="2"/>
      <c r="B35" s="2"/>
      <c r="C35" s="2"/>
      <c r="D35" s="2"/>
      <c r="E35" s="32"/>
      <c r="F35" s="32"/>
      <c r="G35" s="32"/>
      <c r="H35" s="28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74"/>
      <c r="Z35" s="74"/>
      <c r="AA35" s="74"/>
      <c r="AB35" s="32"/>
      <c r="AC35" s="53"/>
      <c r="AE35" s="1"/>
      <c r="AF35" s="25"/>
      <c r="AG35" s="25"/>
      <c r="AH35" s="25"/>
      <c r="AI35" s="25"/>
      <c r="AJ35" s="25"/>
    </row>
    <row r="36" spans="1:34" ht="12.75">
      <c r="A36" s="2"/>
      <c r="B36" s="2"/>
      <c r="C36" s="2"/>
      <c r="D36" s="2"/>
      <c r="E36" s="32"/>
      <c r="F36" s="32"/>
      <c r="G36" s="32"/>
      <c r="H36" s="28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74"/>
      <c r="Z36" s="98" t="s">
        <v>1</v>
      </c>
      <c r="AA36" s="74"/>
      <c r="AB36" s="32"/>
      <c r="AC36" s="53"/>
      <c r="AE36" s="1"/>
      <c r="AH36" s="25"/>
    </row>
    <row r="37" spans="1:31" ht="12.75">
      <c r="A37" s="2"/>
      <c r="B37" s="2"/>
      <c r="C37" s="2"/>
      <c r="D37" s="2"/>
      <c r="E37" s="32"/>
      <c r="F37" s="32"/>
      <c r="G37" s="32"/>
      <c r="H37" s="28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74"/>
      <c r="Z37" s="98" t="s">
        <v>1</v>
      </c>
      <c r="AA37" s="74"/>
      <c r="AB37" s="32"/>
      <c r="AC37" s="53"/>
      <c r="AE37" s="1"/>
    </row>
    <row r="38" spans="1:31" ht="12.75">
      <c r="A38" s="2"/>
      <c r="B38" s="2"/>
      <c r="C38" s="2"/>
      <c r="D38" s="2"/>
      <c r="E38" s="2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73"/>
      <c r="Z38" s="99" t="s">
        <v>1</v>
      </c>
      <c r="AA38" s="73"/>
      <c r="AB38" s="28"/>
      <c r="AC38" s="53"/>
      <c r="AE38" s="1"/>
    </row>
    <row r="39" spans="1:31" ht="12.75">
      <c r="A39" s="2"/>
      <c r="B39" s="2"/>
      <c r="C39" s="2"/>
      <c r="D39" s="2"/>
      <c r="E39" s="2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73"/>
      <c r="Z39" s="73"/>
      <c r="AA39" s="73"/>
      <c r="AB39" s="28"/>
      <c r="AC39" s="53"/>
      <c r="AE39" s="1"/>
    </row>
    <row r="40" spans="7:31" ht="12.75">
      <c r="G40" s="1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7" t="s">
        <v>1</v>
      </c>
      <c r="AA40" s="1"/>
      <c r="AB40" s="1"/>
      <c r="AC40" s="1"/>
      <c r="AE40" s="1"/>
    </row>
    <row r="41" spans="7:31" ht="12.75">
      <c r="G41" s="1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7" t="s">
        <v>1</v>
      </c>
      <c r="AA41" s="1"/>
      <c r="AB41" s="1"/>
      <c r="AC41" s="1"/>
      <c r="AE41" s="1"/>
    </row>
    <row r="42" spans="7:31" ht="12.75">
      <c r="G42" s="1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7" t="s">
        <v>1</v>
      </c>
      <c r="AA42" s="1"/>
      <c r="AB42" s="1"/>
      <c r="AC42" s="1"/>
      <c r="AE42" s="1"/>
    </row>
    <row r="43" spans="6:31" ht="12.75">
      <c r="F43" s="25"/>
      <c r="G43" s="1"/>
      <c r="H43" s="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7"/>
      <c r="AA43" s="1"/>
      <c r="AB43" s="1"/>
      <c r="AC43" s="1"/>
      <c r="AE43" s="1"/>
    </row>
    <row r="44" spans="6:31" ht="12.75">
      <c r="F44" s="25"/>
      <c r="G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7"/>
      <c r="AA44" s="1"/>
      <c r="AB44" s="1"/>
      <c r="AC44" s="1"/>
      <c r="AE44" s="1"/>
    </row>
    <row r="45" spans="7:31" ht="12.75">
      <c r="G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E45" s="1"/>
    </row>
    <row r="46" spans="7:31" ht="12.75">
      <c r="G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E46" s="1"/>
    </row>
    <row r="47" spans="7:31" ht="12.75">
      <c r="G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E47" s="1"/>
    </row>
    <row r="48" spans="7:31" ht="12.75">
      <c r="G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E48" s="1"/>
    </row>
    <row r="49" spans="7:31" ht="12.75">
      <c r="G49" s="1"/>
      <c r="H49" s="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E49" s="1"/>
    </row>
    <row r="50" spans="26:31" ht="12.75">
      <c r="Z50" s="1"/>
      <c r="AE50" s="1"/>
    </row>
    <row r="51" spans="7:31" ht="12.75">
      <c r="G51" s="1"/>
      <c r="AE51" s="1"/>
    </row>
    <row r="52" spans="7:31" ht="12.75">
      <c r="G52" s="25"/>
      <c r="AE52" s="1"/>
    </row>
    <row r="53" spans="26:31" ht="12.75">
      <c r="Z53" s="1"/>
      <c r="AE53" s="1"/>
    </row>
    <row r="54" spans="7:31" ht="12.75">
      <c r="G54" s="25"/>
      <c r="Z54" s="1"/>
      <c r="AE54" s="1"/>
    </row>
    <row r="55" ht="12.75">
      <c r="AE55" s="1"/>
    </row>
    <row r="56" spans="7:31" ht="12.75">
      <c r="G56" s="25"/>
      <c r="AE56" s="1"/>
    </row>
    <row r="57" spans="7:31" ht="12.75">
      <c r="G57" s="25"/>
      <c r="AE57" s="1"/>
    </row>
    <row r="58" spans="7:31" ht="12.75">
      <c r="G58" s="25"/>
      <c r="AE58" s="1"/>
    </row>
    <row r="59" spans="7:31" ht="12.75">
      <c r="G59" s="25"/>
      <c r="AE59" s="1"/>
    </row>
    <row r="60" ht="12.75">
      <c r="AE60" s="1"/>
    </row>
    <row r="61" ht="12.75">
      <c r="AE61" s="1"/>
    </row>
    <row r="62" ht="12.75">
      <c r="AE62" s="1"/>
    </row>
    <row r="63" ht="12.75">
      <c r="AE63" s="1"/>
    </row>
    <row r="64" ht="12.75">
      <c r="AE64" s="1"/>
    </row>
    <row r="65" ht="12.75">
      <c r="AE65" s="1"/>
    </row>
    <row r="66" ht="12.75">
      <c r="AE66" s="1"/>
    </row>
    <row r="67" ht="12.75">
      <c r="AE67" s="1"/>
    </row>
    <row r="68" ht="12.75">
      <c r="AE68" s="1"/>
    </row>
    <row r="69" ht="12.75">
      <c r="AE69" s="1"/>
    </row>
    <row r="70" ht="12.75">
      <c r="AE70" s="1"/>
    </row>
    <row r="71" ht="12.75">
      <c r="AE71" s="1"/>
    </row>
    <row r="72" ht="12.75">
      <c r="AE72" s="1"/>
    </row>
    <row r="73" ht="12.75">
      <c r="AE73" s="1"/>
    </row>
    <row r="74" ht="12.75">
      <c r="AE74" s="1"/>
    </row>
    <row r="75" ht="12.75">
      <c r="AE75" s="1"/>
    </row>
    <row r="76" ht="12.75">
      <c r="AE76" s="1"/>
    </row>
    <row r="77" ht="12.75">
      <c r="AE77" s="1"/>
    </row>
    <row r="78" ht="12.75">
      <c r="AE78" s="1"/>
    </row>
    <row r="79" ht="12.75">
      <c r="AE79" s="1"/>
    </row>
    <row r="80" ht="12.75">
      <c r="AE80" s="1"/>
    </row>
    <row r="81" ht="12.75">
      <c r="AE81" s="1"/>
    </row>
  </sheetData>
  <sheetProtection/>
  <mergeCells count="4">
    <mergeCell ref="E1:AB1"/>
    <mergeCell ref="E2:AB2"/>
    <mergeCell ref="E26:AB26"/>
    <mergeCell ref="E27:AB27"/>
  </mergeCells>
  <printOptions/>
  <pageMargins left="0.7874015748031497" right="0.7480314960629921" top="0.984251968503937" bottom="0.984251968503937" header="0" footer="0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W181"/>
  <sheetViews>
    <sheetView zoomScalePageLayoutView="0" workbookViewId="0" topLeftCell="I1">
      <selection activeCell="W4" sqref="W4:W11"/>
    </sheetView>
  </sheetViews>
  <sheetFormatPr defaultColWidth="11.421875" defaultRowHeight="12.75"/>
  <cols>
    <col min="1" max="1" width="2.8515625" style="0" customWidth="1"/>
    <col min="2" max="2" width="4.7109375" style="0" customWidth="1"/>
    <col min="3" max="3" width="4.57421875" style="0" customWidth="1"/>
    <col min="4" max="4" width="3.7109375" style="0" customWidth="1"/>
    <col min="5" max="5" width="18.140625" style="0" customWidth="1"/>
    <col min="6" max="6" width="15.00390625" style="0" customWidth="1"/>
    <col min="7" max="7" width="17.140625" style="0" customWidth="1"/>
    <col min="8" max="8" width="16.28125" style="0" customWidth="1"/>
    <col min="9" max="9" width="14.28125" style="0" bestFit="1" customWidth="1"/>
    <col min="10" max="10" width="16.140625" style="0" customWidth="1"/>
    <col min="11" max="11" width="15.28125" style="0" customWidth="1"/>
    <col min="12" max="12" width="16.421875" style="0" bestFit="1" customWidth="1"/>
    <col min="13" max="14" width="15.28125" style="0" bestFit="1" customWidth="1"/>
    <col min="15" max="15" width="18.28125" style="0" customWidth="1"/>
    <col min="16" max="16" width="16.140625" style="0" customWidth="1"/>
    <col min="17" max="17" width="18.00390625" style="0" customWidth="1"/>
    <col min="18" max="18" width="22.140625" style="0" customWidth="1"/>
    <col min="19" max="19" width="15.28125" style="0" bestFit="1" customWidth="1"/>
    <col min="20" max="20" width="16.421875" style="0" bestFit="1" customWidth="1"/>
    <col min="21" max="21" width="17.00390625" style="0" bestFit="1" customWidth="1"/>
    <col min="22" max="22" width="13.7109375" style="0" bestFit="1" customWidth="1"/>
    <col min="23" max="23" width="17.421875" style="0" customWidth="1"/>
  </cols>
  <sheetData>
    <row r="3" spans="1:23" ht="25.5">
      <c r="A3" s="59"/>
      <c r="B3" s="12"/>
      <c r="C3" s="12"/>
      <c r="D3" s="12"/>
      <c r="E3" s="12"/>
      <c r="F3" s="29" t="s">
        <v>133</v>
      </c>
      <c r="G3" s="29" t="s">
        <v>134</v>
      </c>
      <c r="H3" s="29" t="str">
        <f>+G3</f>
        <v>CONTRACREDITO</v>
      </c>
      <c r="I3" s="29" t="str">
        <f>+H3</f>
        <v>CONTRACREDITO</v>
      </c>
      <c r="J3" s="29" t="s">
        <v>135</v>
      </c>
      <c r="K3" s="29" t="str">
        <f>+J3</f>
        <v>ADICIONES</v>
      </c>
      <c r="L3" s="29" t="s">
        <v>136</v>
      </c>
      <c r="M3" s="12" t="str">
        <f>+L3</f>
        <v>CREDITOS</v>
      </c>
      <c r="N3" s="12" t="str">
        <f>+M3</f>
        <v>CREDITOS</v>
      </c>
      <c r="O3" s="107" t="s">
        <v>71</v>
      </c>
      <c r="R3" t="s">
        <v>139</v>
      </c>
      <c r="S3" t="s">
        <v>135</v>
      </c>
      <c r="T3" t="s">
        <v>136</v>
      </c>
      <c r="U3" t="s">
        <v>140</v>
      </c>
      <c r="V3" t="s">
        <v>69</v>
      </c>
      <c r="W3" s="55" t="s">
        <v>153</v>
      </c>
    </row>
    <row r="4" spans="1:23" ht="63.75">
      <c r="A4" s="105" t="s">
        <v>24</v>
      </c>
      <c r="B4" s="100" t="s">
        <v>41</v>
      </c>
      <c r="C4" s="101">
        <v>900</v>
      </c>
      <c r="D4" s="102">
        <v>1</v>
      </c>
      <c r="E4" s="103" t="s">
        <v>55</v>
      </c>
      <c r="F4" s="89">
        <f>1350000000</f>
        <v>1350000000</v>
      </c>
      <c r="G4" s="114">
        <v>-2572702</v>
      </c>
      <c r="H4" s="115">
        <v>-920388624</v>
      </c>
      <c r="I4" s="15"/>
      <c r="J4" s="15"/>
      <c r="K4" s="15"/>
      <c r="L4" s="15"/>
      <c r="M4" s="15"/>
      <c r="N4" s="15"/>
      <c r="O4" s="15">
        <f aca="true" t="shared" si="0" ref="O4:O17">SUM(F4:N4)</f>
        <v>427038674</v>
      </c>
      <c r="P4" t="s">
        <v>137</v>
      </c>
      <c r="Q4" t="s">
        <v>138</v>
      </c>
      <c r="R4" s="25">
        <f>+F7+F8+F9+2680000000</f>
        <v>9085623768</v>
      </c>
      <c r="S4" s="1">
        <f>+J7+J8+J9</f>
        <v>3864980195</v>
      </c>
      <c r="T4" s="1">
        <f>+L21+M21+L22+M22</f>
        <v>10198470609</v>
      </c>
      <c r="U4" s="1">
        <f>+H7+H8+H9+I21</f>
        <v>-10262050165</v>
      </c>
      <c r="V4" s="25">
        <f aca="true" t="shared" si="1" ref="V4:V11">SUM(R4:U4)</f>
        <v>12887024407</v>
      </c>
      <c r="W4" s="1">
        <f>27107074+434026280+2635226410+4336277236+5130460222+10000</f>
        <v>12563107222</v>
      </c>
    </row>
    <row r="5" spans="1:23" ht="53.25">
      <c r="A5" s="105" t="s">
        <v>24</v>
      </c>
      <c r="B5" s="100" t="s">
        <v>41</v>
      </c>
      <c r="C5" s="101">
        <f>+C4</f>
        <v>900</v>
      </c>
      <c r="D5" s="102">
        <v>2</v>
      </c>
      <c r="E5" s="103" t="s">
        <v>56</v>
      </c>
      <c r="F5" s="57">
        <f>350000000</f>
        <v>350000000</v>
      </c>
      <c r="G5" s="116">
        <v>-23894914</v>
      </c>
      <c r="H5" s="113">
        <v>-169213677</v>
      </c>
      <c r="I5" s="15"/>
      <c r="J5" s="15"/>
      <c r="K5" s="15"/>
      <c r="L5" s="15"/>
      <c r="M5" s="15"/>
      <c r="N5" s="15"/>
      <c r="O5" s="15">
        <f t="shared" si="0"/>
        <v>156891409</v>
      </c>
      <c r="P5" t="s">
        <v>141</v>
      </c>
      <c r="Q5" t="s">
        <v>142</v>
      </c>
      <c r="R5" s="25">
        <f>+F4+F5+F6</f>
        <v>2000000000</v>
      </c>
      <c r="S5" s="1">
        <f>+J6</f>
        <v>500000000</v>
      </c>
      <c r="T5" s="1">
        <f>+L24+M24+N24+L25+M25+N25</f>
        <v>1401749473</v>
      </c>
      <c r="U5" s="1">
        <f>+G4+H4+G5+H5+H6+I6</f>
        <v>-1717495442</v>
      </c>
      <c r="V5" s="25">
        <f t="shared" si="1"/>
        <v>2184254031</v>
      </c>
      <c r="W5" s="1">
        <f>408966674+156891409+198574475+223543821+1135936327</f>
        <v>2123912706</v>
      </c>
    </row>
    <row r="6" spans="1:23" ht="42.75">
      <c r="A6" s="105" t="s">
        <v>24</v>
      </c>
      <c r="B6" s="100" t="s">
        <v>41</v>
      </c>
      <c r="C6" s="101">
        <v>900</v>
      </c>
      <c r="D6" s="102">
        <v>3</v>
      </c>
      <c r="E6" s="103" t="s">
        <v>68</v>
      </c>
      <c r="F6" s="57">
        <v>300000000</v>
      </c>
      <c r="G6" s="116">
        <v>0</v>
      </c>
      <c r="H6" s="113">
        <v>-600906843</v>
      </c>
      <c r="I6" s="15">
        <v>-518682</v>
      </c>
      <c r="J6" s="111">
        <v>500000000</v>
      </c>
      <c r="K6" s="15"/>
      <c r="L6" s="15"/>
      <c r="M6" s="15"/>
      <c r="N6" s="15"/>
      <c r="O6" s="15">
        <f t="shared" si="0"/>
        <v>198574475</v>
      </c>
      <c r="P6" t="s">
        <v>143</v>
      </c>
      <c r="Q6" t="s">
        <v>144</v>
      </c>
      <c r="R6" s="25">
        <f>+F10</f>
        <v>1073210483</v>
      </c>
      <c r="S6" s="1">
        <f>+J10</f>
        <v>804022886</v>
      </c>
      <c r="T6" s="1">
        <f>+L23</f>
        <v>1877233369</v>
      </c>
      <c r="U6" s="1">
        <f>+H10</f>
        <v>-1877233369</v>
      </c>
      <c r="V6" s="25">
        <f t="shared" si="1"/>
        <v>1877233369</v>
      </c>
      <c r="W6" s="1">
        <v>1877233207</v>
      </c>
    </row>
    <row r="7" spans="1:23" ht="32.25">
      <c r="A7" s="105" t="s">
        <v>24</v>
      </c>
      <c r="B7" s="100" t="s">
        <v>42</v>
      </c>
      <c r="C7" s="101">
        <v>900</v>
      </c>
      <c r="D7" s="102">
        <v>1</v>
      </c>
      <c r="E7" s="103" t="s">
        <v>57</v>
      </c>
      <c r="F7" s="57">
        <v>3677074400</v>
      </c>
      <c r="G7" s="56">
        <v>0</v>
      </c>
      <c r="H7" s="113">
        <v>-4595103399</v>
      </c>
      <c r="I7" s="15"/>
      <c r="J7" s="111">
        <v>918028999</v>
      </c>
      <c r="K7" s="15"/>
      <c r="L7" s="15"/>
      <c r="M7" s="15"/>
      <c r="N7" s="15"/>
      <c r="O7" s="15">
        <f t="shared" si="0"/>
        <v>0</v>
      </c>
      <c r="P7" t="s">
        <v>145</v>
      </c>
      <c r="Q7" t="s">
        <v>146</v>
      </c>
      <c r="R7" s="25">
        <f>+F14</f>
        <v>520000000</v>
      </c>
      <c r="S7" s="1">
        <f>+J14</f>
        <v>1914662737</v>
      </c>
      <c r="T7" s="1">
        <f>+L31+M31+N31</f>
        <v>2242564208</v>
      </c>
      <c r="U7" s="1">
        <f>+G14+H14</f>
        <v>-2114664208</v>
      </c>
      <c r="V7" s="25">
        <f t="shared" si="1"/>
        <v>2562562737</v>
      </c>
      <c r="W7" s="1">
        <f>319998529+2173142971</f>
        <v>2493141500</v>
      </c>
    </row>
    <row r="8" spans="1:23" ht="32.25">
      <c r="A8" s="105" t="s">
        <v>24</v>
      </c>
      <c r="B8" s="100" t="s">
        <v>42</v>
      </c>
      <c r="C8" s="101">
        <v>900</v>
      </c>
      <c r="D8" s="102">
        <v>2</v>
      </c>
      <c r="E8" s="103" t="s">
        <v>58</v>
      </c>
      <c r="F8" s="57">
        <v>1199818416</v>
      </c>
      <c r="G8" s="57">
        <v>0</v>
      </c>
      <c r="H8" s="113">
        <v>-2566309866</v>
      </c>
      <c r="I8" s="15"/>
      <c r="J8" s="111">
        <v>1393598524</v>
      </c>
      <c r="K8" s="15"/>
      <c r="L8" s="15"/>
      <c r="M8" s="15"/>
      <c r="N8" s="15"/>
      <c r="O8" s="15">
        <f t="shared" si="0"/>
        <v>27107074</v>
      </c>
      <c r="P8" t="s">
        <v>147</v>
      </c>
      <c r="Q8" t="s">
        <v>148</v>
      </c>
      <c r="R8" s="25">
        <f>+F15</f>
        <v>700000000</v>
      </c>
      <c r="S8" s="1">
        <f>+J15</f>
        <v>900000000</v>
      </c>
      <c r="T8" s="1">
        <f>+L32</f>
        <v>1445581568</v>
      </c>
      <c r="U8" s="25">
        <f>+G15</f>
        <v>-1435581568</v>
      </c>
      <c r="V8" s="25">
        <f t="shared" si="1"/>
        <v>1610000000</v>
      </c>
      <c r="W8" s="1">
        <f>164418432+1398378737</f>
        <v>1562797169</v>
      </c>
    </row>
    <row r="9" spans="1:23" ht="42.75">
      <c r="A9" s="105" t="s">
        <v>24</v>
      </c>
      <c r="B9" s="100" t="s">
        <v>42</v>
      </c>
      <c r="C9" s="101">
        <v>900</v>
      </c>
      <c r="D9" s="102">
        <v>3</v>
      </c>
      <c r="E9" s="103" t="s">
        <v>59</v>
      </c>
      <c r="F9" s="57">
        <v>1528730952</v>
      </c>
      <c r="G9" s="57">
        <v>0</v>
      </c>
      <c r="H9" s="113">
        <v>-2648057344</v>
      </c>
      <c r="I9" s="15"/>
      <c r="J9" s="111">
        <v>1553352672</v>
      </c>
      <c r="K9" s="15"/>
      <c r="L9" s="15"/>
      <c r="M9" s="15"/>
      <c r="N9" s="15"/>
      <c r="O9" s="15">
        <f t="shared" si="0"/>
        <v>434026280</v>
      </c>
      <c r="P9" t="s">
        <v>149</v>
      </c>
      <c r="Q9" t="s">
        <v>150</v>
      </c>
      <c r="R9" s="25">
        <f>+F11</f>
        <v>289000000</v>
      </c>
      <c r="S9" s="1">
        <f>+J11+A2</f>
        <v>100000000</v>
      </c>
      <c r="T9" s="1">
        <f>+L29+M29</f>
        <v>368114522</v>
      </c>
      <c r="U9" s="1">
        <f>+G11+H11</f>
        <v>-325075388</v>
      </c>
      <c r="V9" s="25">
        <f t="shared" si="1"/>
        <v>432039134</v>
      </c>
      <c r="W9" s="1">
        <f>63924612+321140379</f>
        <v>385064991</v>
      </c>
    </row>
    <row r="10" spans="1:23" ht="42.75">
      <c r="A10" s="105" t="s">
        <v>24</v>
      </c>
      <c r="B10" s="100" t="s">
        <v>42</v>
      </c>
      <c r="C10" s="101">
        <v>900</v>
      </c>
      <c r="D10" s="102">
        <v>4</v>
      </c>
      <c r="E10" s="103" t="s">
        <v>60</v>
      </c>
      <c r="F10" s="57">
        <v>1073210483</v>
      </c>
      <c r="G10" s="57">
        <v>0</v>
      </c>
      <c r="H10" s="113">
        <v>-1877233369</v>
      </c>
      <c r="I10" s="15"/>
      <c r="J10" s="111">
        <v>804022886</v>
      </c>
      <c r="K10" s="15"/>
      <c r="L10" s="15"/>
      <c r="M10" s="15"/>
      <c r="N10" s="15"/>
      <c r="O10" s="15">
        <f t="shared" si="0"/>
        <v>0</v>
      </c>
      <c r="P10" t="s">
        <v>151</v>
      </c>
      <c r="Q10" t="s">
        <v>103</v>
      </c>
      <c r="R10" s="25">
        <f>+F13+F16+F17+F12</f>
        <v>3582498061</v>
      </c>
      <c r="S10" s="1">
        <f>+J12+J13+J26+J17+K17</f>
        <v>6549602606</v>
      </c>
      <c r="T10" s="1">
        <f>+L26+M26+N26+L27+L30+M30+L28+M28</f>
        <v>7833537833</v>
      </c>
      <c r="U10" s="1">
        <f>+G12+H12+G16+H16+G17+H17+G30+G27+G13+H13</f>
        <v>-7635151442</v>
      </c>
      <c r="V10" s="25">
        <f t="shared" si="1"/>
        <v>10330487058</v>
      </c>
      <c r="W10" s="1">
        <f>48787123+1103588479+108301948+827206544+5080894612+123606170+946809218+1778682334</f>
        <v>10017876428</v>
      </c>
    </row>
    <row r="11" spans="1:23" ht="21.75">
      <c r="A11" s="105" t="s">
        <v>24</v>
      </c>
      <c r="B11" s="100" t="s">
        <v>43</v>
      </c>
      <c r="C11" s="101">
        <v>900</v>
      </c>
      <c r="D11" s="102">
        <v>1</v>
      </c>
      <c r="E11" s="103" t="s">
        <v>61</v>
      </c>
      <c r="F11" s="57">
        <v>289000000</v>
      </c>
      <c r="G11" s="116">
        <v>-320465303</v>
      </c>
      <c r="H11" s="113">
        <v>-4610085</v>
      </c>
      <c r="I11" s="15"/>
      <c r="J11" s="111">
        <v>100000000</v>
      </c>
      <c r="K11" s="15"/>
      <c r="L11" s="15"/>
      <c r="M11" s="15"/>
      <c r="N11" s="15"/>
      <c r="O11" s="15">
        <f t="shared" si="0"/>
        <v>63924612</v>
      </c>
      <c r="Q11" t="s">
        <v>152</v>
      </c>
      <c r="R11" s="25">
        <f>SUM(R4:R10)</f>
        <v>17250332312</v>
      </c>
      <c r="S11" s="25">
        <f>SUM(S4:S10)</f>
        <v>14633268424</v>
      </c>
      <c r="T11" s="25">
        <f>SUM(T4:T10)</f>
        <v>25367251582</v>
      </c>
      <c r="U11" s="25">
        <f>SUM(U4:U10)</f>
        <v>-25367251582</v>
      </c>
      <c r="V11" s="25">
        <f t="shared" si="1"/>
        <v>31883600736</v>
      </c>
      <c r="W11" s="25">
        <f>SUM(W4:W10)</f>
        <v>31023133223</v>
      </c>
    </row>
    <row r="12" spans="1:23" ht="21.75">
      <c r="A12" s="105" t="s">
        <v>24</v>
      </c>
      <c r="B12" s="100" t="s">
        <v>43</v>
      </c>
      <c r="C12" s="101">
        <v>900</v>
      </c>
      <c r="D12" s="102">
        <v>2</v>
      </c>
      <c r="E12" s="103" t="s">
        <v>62</v>
      </c>
      <c r="F12" s="57">
        <v>1000000000</v>
      </c>
      <c r="G12" s="57">
        <v>-1948357768</v>
      </c>
      <c r="H12" s="90">
        <v>-2855109</v>
      </c>
      <c r="I12" s="15"/>
      <c r="J12" s="111">
        <v>1000000000</v>
      </c>
      <c r="K12" s="15"/>
      <c r="L12" s="15"/>
      <c r="M12" s="15"/>
      <c r="N12" s="15"/>
      <c r="O12" s="15">
        <f t="shared" si="0"/>
        <v>48787123</v>
      </c>
      <c r="T12" s="1"/>
      <c r="U12" s="25"/>
      <c r="V12" s="25"/>
      <c r="W12" s="7" t="s">
        <v>1</v>
      </c>
    </row>
    <row r="13" spans="1:23" ht="32.25">
      <c r="A13" s="105" t="s">
        <v>24</v>
      </c>
      <c r="B13" s="100" t="s">
        <v>44</v>
      </c>
      <c r="C13" s="101">
        <v>900</v>
      </c>
      <c r="D13" s="102">
        <v>1</v>
      </c>
      <c r="E13" s="103" t="s">
        <v>63</v>
      </c>
      <c r="F13" s="57">
        <v>2132498061</v>
      </c>
      <c r="G13" s="57">
        <v>-1310392615</v>
      </c>
      <c r="H13" s="90">
        <v>-5190697</v>
      </c>
      <c r="I13" s="15"/>
      <c r="J13" s="111">
        <v>300000000</v>
      </c>
      <c r="K13" s="15"/>
      <c r="L13" s="15"/>
      <c r="M13" s="15"/>
      <c r="N13" s="15"/>
      <c r="O13" s="15">
        <f t="shared" si="0"/>
        <v>1116914749</v>
      </c>
      <c r="T13" s="25"/>
      <c r="V13" s="25"/>
      <c r="W13" s="1" t="e">
        <f>+W12-W11</f>
        <v>#VALUE!</v>
      </c>
    </row>
    <row r="14" spans="1:23" ht="53.25">
      <c r="A14" s="105" t="s">
        <v>24</v>
      </c>
      <c r="B14" s="100" t="s">
        <v>44</v>
      </c>
      <c r="C14" s="101">
        <v>900</v>
      </c>
      <c r="D14" s="102">
        <v>2</v>
      </c>
      <c r="E14" s="103" t="s">
        <v>64</v>
      </c>
      <c r="F14" s="57">
        <v>520000000</v>
      </c>
      <c r="G14" s="116">
        <v>-2114195091</v>
      </c>
      <c r="H14" s="113">
        <v>-469117</v>
      </c>
      <c r="I14" s="15"/>
      <c r="J14" s="111">
        <v>1914662737</v>
      </c>
      <c r="K14" s="15"/>
      <c r="L14" s="15"/>
      <c r="M14" s="15"/>
      <c r="N14" s="15"/>
      <c r="O14" s="15">
        <f t="shared" si="0"/>
        <v>319998529</v>
      </c>
      <c r="V14" s="25"/>
      <c r="W14" s="1"/>
    </row>
    <row r="15" spans="1:23" ht="42.75">
      <c r="A15" s="105" t="s">
        <v>24</v>
      </c>
      <c r="B15" s="100" t="s">
        <v>45</v>
      </c>
      <c r="C15" s="101">
        <v>900</v>
      </c>
      <c r="D15" s="102">
        <v>1</v>
      </c>
      <c r="E15" s="103" t="s">
        <v>65</v>
      </c>
      <c r="F15" s="57">
        <v>700000000</v>
      </c>
      <c r="G15" s="116">
        <v>-1435581568</v>
      </c>
      <c r="H15" s="90">
        <v>0</v>
      </c>
      <c r="I15" s="15"/>
      <c r="J15" s="111">
        <v>900000000</v>
      </c>
      <c r="K15" s="15"/>
      <c r="L15" s="15"/>
      <c r="M15" s="15"/>
      <c r="N15" s="15"/>
      <c r="O15" s="15">
        <f t="shared" si="0"/>
        <v>164418432</v>
      </c>
      <c r="V15" s="25"/>
      <c r="W15" s="1"/>
    </row>
    <row r="16" spans="1:23" ht="53.25">
      <c r="A16" s="105" t="s">
        <v>24</v>
      </c>
      <c r="B16" s="100" t="s">
        <v>46</v>
      </c>
      <c r="C16" s="101">
        <v>900</v>
      </c>
      <c r="D16" s="102">
        <v>1</v>
      </c>
      <c r="E16" s="104" t="s">
        <v>66</v>
      </c>
      <c r="F16" s="57">
        <f>+'[2]Gastos 2016'!$B$16</f>
        <v>250000000</v>
      </c>
      <c r="G16" s="57">
        <v>-573306</v>
      </c>
      <c r="H16" s="90">
        <v>-141124746</v>
      </c>
      <c r="I16" s="15"/>
      <c r="J16" s="15"/>
      <c r="K16" s="15"/>
      <c r="L16" s="15"/>
      <c r="M16" s="15"/>
      <c r="N16" s="15"/>
      <c r="O16" s="15">
        <f t="shared" si="0"/>
        <v>108301948</v>
      </c>
      <c r="V16" s="25"/>
      <c r="W16" s="1"/>
    </row>
    <row r="17" spans="1:23" ht="32.25">
      <c r="A17" s="105" t="s">
        <v>24</v>
      </c>
      <c r="B17" s="100" t="s">
        <v>46</v>
      </c>
      <c r="C17" s="101">
        <v>900</v>
      </c>
      <c r="D17" s="102">
        <v>2</v>
      </c>
      <c r="E17" s="104" t="s">
        <v>67</v>
      </c>
      <c r="F17" s="57">
        <v>200000000</v>
      </c>
      <c r="G17" s="57">
        <v>-3856237256</v>
      </c>
      <c r="H17" s="90">
        <v>-1050578</v>
      </c>
      <c r="I17" s="15"/>
      <c r="J17" s="111">
        <v>3728574777</v>
      </c>
      <c r="K17" s="15">
        <v>771935666</v>
      </c>
      <c r="L17" s="15"/>
      <c r="M17" s="15"/>
      <c r="N17" s="15"/>
      <c r="O17" s="15">
        <f t="shared" si="0"/>
        <v>843222609</v>
      </c>
      <c r="V17" s="25"/>
      <c r="W17" s="1"/>
    </row>
    <row r="18" spans="1:23" ht="21.75">
      <c r="A18" s="105"/>
      <c r="B18" s="100"/>
      <c r="C18" s="101"/>
      <c r="D18" s="102"/>
      <c r="E18" s="104" t="s">
        <v>101</v>
      </c>
      <c r="F18" s="57">
        <f aca="true" t="shared" si="2" ref="F18:O18">SUM(F4:F17)</f>
        <v>14570332312</v>
      </c>
      <c r="G18" s="57">
        <f t="shared" si="2"/>
        <v>-11012270523</v>
      </c>
      <c r="H18" s="57">
        <f t="shared" si="2"/>
        <v>-13532513454</v>
      </c>
      <c r="I18" s="57">
        <f t="shared" si="2"/>
        <v>-518682</v>
      </c>
      <c r="J18" s="57">
        <f t="shared" si="2"/>
        <v>13112240595</v>
      </c>
      <c r="K18" s="57">
        <f t="shared" si="2"/>
        <v>771935666</v>
      </c>
      <c r="L18" s="57">
        <f t="shared" si="2"/>
        <v>0</v>
      </c>
      <c r="M18" s="57">
        <f t="shared" si="2"/>
        <v>0</v>
      </c>
      <c r="N18" s="57">
        <f t="shared" si="2"/>
        <v>0</v>
      </c>
      <c r="O18" s="57">
        <f t="shared" si="2"/>
        <v>3909205914</v>
      </c>
      <c r="V18" s="25"/>
      <c r="W18" s="1"/>
    </row>
    <row r="19" spans="1:23" ht="12.75">
      <c r="A19" s="105"/>
      <c r="B19" s="100"/>
      <c r="C19" s="101"/>
      <c r="D19" s="102"/>
      <c r="E19" s="104"/>
      <c r="F19" s="57"/>
      <c r="G19" s="57"/>
      <c r="H19" s="24"/>
      <c r="I19" s="15"/>
      <c r="J19" s="15"/>
      <c r="K19" s="15"/>
      <c r="L19" s="15"/>
      <c r="M19" s="15"/>
      <c r="N19" s="15"/>
      <c r="O19" s="15">
        <f aca="true" t="shared" si="3" ref="O19:O33">SUM(F19:N19)</f>
        <v>0</v>
      </c>
      <c r="V19" s="25"/>
      <c r="W19" s="1"/>
    </row>
    <row r="20" spans="1:22" ht="22.5">
      <c r="A20" s="105"/>
      <c r="B20" s="100"/>
      <c r="C20" s="101"/>
      <c r="D20" s="102"/>
      <c r="E20" s="108" t="s">
        <v>97</v>
      </c>
      <c r="F20" s="109" t="s">
        <v>1</v>
      </c>
      <c r="G20" s="109" t="s">
        <v>1</v>
      </c>
      <c r="H20" s="109" t="s">
        <v>1</v>
      </c>
      <c r="I20" s="16" t="s">
        <v>1</v>
      </c>
      <c r="J20" s="15"/>
      <c r="K20" s="15"/>
      <c r="L20" s="15"/>
      <c r="M20" s="15"/>
      <c r="N20" s="15"/>
      <c r="O20" s="15">
        <f t="shared" si="3"/>
        <v>0</v>
      </c>
      <c r="V20" s="25"/>
    </row>
    <row r="21" spans="1:15" ht="33.75">
      <c r="A21" s="105" t="s">
        <v>24</v>
      </c>
      <c r="B21" s="100" t="s">
        <v>41</v>
      </c>
      <c r="C21" s="101">
        <v>1</v>
      </c>
      <c r="D21" s="102"/>
      <c r="E21" s="110" t="s">
        <v>87</v>
      </c>
      <c r="F21" s="57">
        <v>0</v>
      </c>
      <c r="G21" s="57">
        <v>0</v>
      </c>
      <c r="H21" s="24">
        <v>0</v>
      </c>
      <c r="I21" s="15">
        <v>-452579556</v>
      </c>
      <c r="J21" s="15"/>
      <c r="K21" s="15"/>
      <c r="L21" s="111">
        <v>4670486343</v>
      </c>
      <c r="M21" s="111">
        <v>350000000</v>
      </c>
      <c r="N21" s="15"/>
      <c r="O21" s="15">
        <f t="shared" si="3"/>
        <v>4567906787</v>
      </c>
    </row>
    <row r="22" spans="1:15" ht="22.5">
      <c r="A22" s="105" t="s">
        <v>24</v>
      </c>
      <c r="B22" s="100" t="s">
        <v>41</v>
      </c>
      <c r="C22" s="101">
        <v>2</v>
      </c>
      <c r="D22" s="102"/>
      <c r="E22" s="110" t="s">
        <v>88</v>
      </c>
      <c r="F22" s="57">
        <v>0</v>
      </c>
      <c r="G22" s="57">
        <v>0</v>
      </c>
      <c r="H22" s="24">
        <v>0</v>
      </c>
      <c r="I22" s="15"/>
      <c r="J22" s="15"/>
      <c r="K22" s="15"/>
      <c r="L22" s="111">
        <v>5138984266</v>
      </c>
      <c r="M22" s="111">
        <v>39000000</v>
      </c>
      <c r="N22" s="15"/>
      <c r="O22" s="15">
        <f t="shared" si="3"/>
        <v>5177984266</v>
      </c>
    </row>
    <row r="23" spans="1:15" ht="22.5">
      <c r="A23" s="105" t="s">
        <v>24</v>
      </c>
      <c r="B23" s="100" t="s">
        <v>41</v>
      </c>
      <c r="C23" s="101">
        <v>3</v>
      </c>
      <c r="D23" s="102"/>
      <c r="E23" s="110" t="s">
        <v>89</v>
      </c>
      <c r="F23" s="57">
        <v>0</v>
      </c>
      <c r="G23" s="57">
        <v>0</v>
      </c>
      <c r="H23" s="24">
        <v>0</v>
      </c>
      <c r="I23" s="15"/>
      <c r="J23" s="15"/>
      <c r="K23" s="15"/>
      <c r="L23" s="111">
        <v>1877233369</v>
      </c>
      <c r="M23" s="15"/>
      <c r="N23" s="15"/>
      <c r="O23" s="15">
        <f t="shared" si="3"/>
        <v>1877233369</v>
      </c>
    </row>
    <row r="24" spans="1:15" ht="45">
      <c r="A24" s="105" t="s">
        <v>24</v>
      </c>
      <c r="B24" s="100" t="s">
        <v>42</v>
      </c>
      <c r="C24" s="101">
        <v>1</v>
      </c>
      <c r="D24" s="102"/>
      <c r="E24" s="110" t="s">
        <v>90</v>
      </c>
      <c r="F24" s="57">
        <v>0</v>
      </c>
      <c r="G24" s="57">
        <v>0</v>
      </c>
      <c r="H24" s="24">
        <v>0</v>
      </c>
      <c r="I24" s="15">
        <v>0</v>
      </c>
      <c r="J24" s="15"/>
      <c r="K24" s="15"/>
      <c r="L24" s="111">
        <v>97010786</v>
      </c>
      <c r="M24" s="111">
        <v>128863196</v>
      </c>
      <c r="N24" s="111">
        <v>2572702</v>
      </c>
      <c r="O24" s="15">
        <f t="shared" si="3"/>
        <v>228446684</v>
      </c>
    </row>
    <row r="25" spans="1:15" ht="56.25">
      <c r="A25" s="105" t="s">
        <v>24</v>
      </c>
      <c r="B25" s="100" t="s">
        <v>42</v>
      </c>
      <c r="C25" s="101">
        <v>2</v>
      </c>
      <c r="D25" s="102"/>
      <c r="E25" s="110" t="s">
        <v>91</v>
      </c>
      <c r="F25" s="57">
        <v>0</v>
      </c>
      <c r="G25" s="57">
        <v>0</v>
      </c>
      <c r="H25" s="24">
        <v>0</v>
      </c>
      <c r="I25" s="15">
        <v>0</v>
      </c>
      <c r="J25" s="15"/>
      <c r="K25" s="15"/>
      <c r="L25" s="111">
        <v>960739105</v>
      </c>
      <c r="M25" s="111">
        <v>188668770</v>
      </c>
      <c r="N25" s="111">
        <v>23894914</v>
      </c>
      <c r="O25" s="15">
        <f t="shared" si="3"/>
        <v>1173302789</v>
      </c>
    </row>
    <row r="26" spans="1:15" ht="22.5">
      <c r="A26" s="105" t="s">
        <v>24</v>
      </c>
      <c r="B26" s="100" t="s">
        <v>43</v>
      </c>
      <c r="C26" s="101">
        <v>1</v>
      </c>
      <c r="D26" s="102"/>
      <c r="E26" s="110" t="s">
        <v>92</v>
      </c>
      <c r="F26" s="57">
        <v>0</v>
      </c>
      <c r="G26" s="93">
        <v>0</v>
      </c>
      <c r="H26" s="24">
        <v>0</v>
      </c>
      <c r="I26" s="15"/>
      <c r="J26" s="111">
        <v>749092163</v>
      </c>
      <c r="K26" s="15"/>
      <c r="L26" s="111">
        <v>4539266111</v>
      </c>
      <c r="M26" s="111">
        <v>2142566</v>
      </c>
      <c r="N26" s="111">
        <v>19369367</v>
      </c>
      <c r="O26" s="15">
        <f t="shared" si="3"/>
        <v>5309870207</v>
      </c>
    </row>
    <row r="27" spans="1:15" ht="33.75">
      <c r="A27" s="105" t="s">
        <v>24</v>
      </c>
      <c r="B27" s="100" t="s">
        <v>43</v>
      </c>
      <c r="C27" s="101">
        <v>2</v>
      </c>
      <c r="D27" s="102"/>
      <c r="E27" s="110" t="s">
        <v>93</v>
      </c>
      <c r="F27" s="57">
        <v>0</v>
      </c>
      <c r="G27" s="57">
        <v>-19369367</v>
      </c>
      <c r="H27" s="24">
        <v>0</v>
      </c>
      <c r="I27" s="15"/>
      <c r="J27" s="15"/>
      <c r="K27" s="15"/>
      <c r="L27" s="111">
        <v>166163600</v>
      </c>
      <c r="M27" s="111"/>
      <c r="N27" s="111"/>
      <c r="O27" s="15">
        <f t="shared" si="3"/>
        <v>146794233</v>
      </c>
    </row>
    <row r="28" spans="1:15" ht="22.5">
      <c r="A28" s="105" t="s">
        <v>24</v>
      </c>
      <c r="B28" s="100" t="s">
        <v>44</v>
      </c>
      <c r="C28" s="101">
        <v>1</v>
      </c>
      <c r="D28" s="102"/>
      <c r="E28" s="110" t="s">
        <v>94</v>
      </c>
      <c r="F28" s="57">
        <v>0</v>
      </c>
      <c r="G28" s="57">
        <v>0</v>
      </c>
      <c r="H28" s="24">
        <f>+F28+G28</f>
        <v>0</v>
      </c>
      <c r="I28" s="15"/>
      <c r="J28" s="15"/>
      <c r="K28" s="15"/>
      <c r="L28" s="111">
        <v>5190697</v>
      </c>
      <c r="M28" s="111">
        <v>963947415</v>
      </c>
      <c r="N28" s="111"/>
      <c r="O28" s="15">
        <f t="shared" si="3"/>
        <v>969138112</v>
      </c>
    </row>
    <row r="29" spans="1:15" ht="22.5">
      <c r="A29" s="105" t="s">
        <v>24</v>
      </c>
      <c r="B29" s="100" t="s">
        <v>45</v>
      </c>
      <c r="C29" s="101">
        <v>1</v>
      </c>
      <c r="D29" s="102"/>
      <c r="E29" s="110" t="s">
        <v>95</v>
      </c>
      <c r="F29" s="57">
        <v>0</v>
      </c>
      <c r="G29" s="57">
        <v>0</v>
      </c>
      <c r="H29" s="24">
        <v>0</v>
      </c>
      <c r="I29" s="15"/>
      <c r="J29" s="15"/>
      <c r="K29" s="15"/>
      <c r="L29" s="111">
        <v>4610085</v>
      </c>
      <c r="M29" s="111">
        <v>363504437</v>
      </c>
      <c r="N29" s="15"/>
      <c r="O29" s="15">
        <f t="shared" si="3"/>
        <v>368114522</v>
      </c>
    </row>
    <row r="30" spans="1:15" ht="22.5">
      <c r="A30" s="105" t="s">
        <v>24</v>
      </c>
      <c r="B30" s="100" t="s">
        <v>45</v>
      </c>
      <c r="C30" s="101">
        <v>2</v>
      </c>
      <c r="D30" s="102"/>
      <c r="E30" s="110" t="s">
        <v>99</v>
      </c>
      <c r="F30" s="57">
        <v>0</v>
      </c>
      <c r="G30" s="57">
        <v>-350000000</v>
      </c>
      <c r="H30" s="24">
        <v>0</v>
      </c>
      <c r="I30" s="15"/>
      <c r="J30" s="15"/>
      <c r="K30" s="15"/>
      <c r="L30" s="111">
        <v>2134602968</v>
      </c>
      <c r="M30" s="111">
        <v>2855109</v>
      </c>
      <c r="N30" s="15"/>
      <c r="O30" s="15">
        <f t="shared" si="3"/>
        <v>1787458077</v>
      </c>
    </row>
    <row r="31" spans="1:15" ht="22.5">
      <c r="A31" s="105" t="s">
        <v>24</v>
      </c>
      <c r="B31" s="100" t="s">
        <v>46</v>
      </c>
      <c r="C31" s="101">
        <v>1</v>
      </c>
      <c r="D31" s="102"/>
      <c r="E31" s="110" t="s">
        <v>96</v>
      </c>
      <c r="F31" s="57">
        <v>0</v>
      </c>
      <c r="G31" s="57">
        <v>0</v>
      </c>
      <c r="H31" s="24">
        <v>0</v>
      </c>
      <c r="I31" s="15"/>
      <c r="J31" s="15"/>
      <c r="K31" s="15"/>
      <c r="L31" s="112">
        <v>469117</v>
      </c>
      <c r="M31" s="111">
        <v>127900000</v>
      </c>
      <c r="N31" s="111">
        <v>2114195091</v>
      </c>
      <c r="O31" s="15">
        <f t="shared" si="3"/>
        <v>2242564208</v>
      </c>
    </row>
    <row r="32" spans="1:15" ht="22.5">
      <c r="A32" s="105" t="s">
        <v>24</v>
      </c>
      <c r="B32" s="100" t="s">
        <v>46</v>
      </c>
      <c r="C32" s="101">
        <v>2</v>
      </c>
      <c r="D32" s="102"/>
      <c r="E32" s="110" t="s">
        <v>98</v>
      </c>
      <c r="F32" s="57">
        <v>0</v>
      </c>
      <c r="G32" s="57">
        <v>0</v>
      </c>
      <c r="H32" s="24">
        <v>0</v>
      </c>
      <c r="I32" s="15"/>
      <c r="J32" s="15"/>
      <c r="K32" s="15"/>
      <c r="L32" s="111">
        <v>1445581568</v>
      </c>
      <c r="M32" s="15"/>
      <c r="N32" s="15"/>
      <c r="O32" s="15">
        <f t="shared" si="3"/>
        <v>1445581568</v>
      </c>
    </row>
    <row r="33" spans="1:15" ht="12.75">
      <c r="A33" s="105"/>
      <c r="B33" s="100"/>
      <c r="C33" s="101"/>
      <c r="D33" s="102"/>
      <c r="E33" s="104"/>
      <c r="F33" s="57"/>
      <c r="G33" s="57"/>
      <c r="H33" s="24"/>
      <c r="I33" s="15"/>
      <c r="J33" s="15"/>
      <c r="K33" s="15"/>
      <c r="L33" s="15"/>
      <c r="M33" s="15"/>
      <c r="N33" s="15"/>
      <c r="O33" s="15">
        <f t="shared" si="3"/>
        <v>0</v>
      </c>
    </row>
    <row r="34" spans="1:15" ht="21.75">
      <c r="A34" s="105"/>
      <c r="B34" s="100"/>
      <c r="C34" s="101"/>
      <c r="D34" s="102"/>
      <c r="E34" s="104" t="s">
        <v>100</v>
      </c>
      <c r="F34" s="57">
        <f>SUM(F21:F33)</f>
        <v>0</v>
      </c>
      <c r="G34" s="57">
        <f aca="true" t="shared" si="4" ref="G34:O34">SUM(G21:G33)</f>
        <v>-369369367</v>
      </c>
      <c r="H34" s="57">
        <f t="shared" si="4"/>
        <v>0</v>
      </c>
      <c r="I34" s="57">
        <f t="shared" si="4"/>
        <v>-452579556</v>
      </c>
      <c r="J34" s="57">
        <f t="shared" si="4"/>
        <v>749092163</v>
      </c>
      <c r="K34" s="57">
        <f t="shared" si="4"/>
        <v>0</v>
      </c>
      <c r="L34" s="57">
        <f t="shared" si="4"/>
        <v>21040338015</v>
      </c>
      <c r="M34" s="57">
        <f t="shared" si="4"/>
        <v>2166881493</v>
      </c>
      <c r="N34" s="57">
        <f t="shared" si="4"/>
        <v>2160032074</v>
      </c>
      <c r="O34" s="57">
        <f t="shared" si="4"/>
        <v>25294394822</v>
      </c>
    </row>
    <row r="35" spans="1:15" ht="12.75">
      <c r="A35" s="105" t="s">
        <v>1</v>
      </c>
      <c r="B35" s="100"/>
      <c r="C35" s="101"/>
      <c r="D35" s="102"/>
      <c r="E35" s="62"/>
      <c r="F35" s="57"/>
      <c r="G35" s="57" t="s">
        <v>1</v>
      </c>
      <c r="H35" s="24" t="s">
        <v>1</v>
      </c>
      <c r="I35" s="15"/>
      <c r="J35" s="15"/>
      <c r="K35" s="15"/>
      <c r="L35" s="15"/>
      <c r="M35" s="15"/>
      <c r="N35" s="15"/>
      <c r="O35" s="15">
        <f>SUM(F35:N35)</f>
        <v>0</v>
      </c>
    </row>
    <row r="36" spans="1:15" ht="13.5" thickBot="1">
      <c r="A36" s="106"/>
      <c r="B36" s="100"/>
      <c r="C36" s="101"/>
      <c r="D36" s="102"/>
      <c r="E36" s="62" t="s">
        <v>69</v>
      </c>
      <c r="F36" s="57">
        <f>+F18+F34</f>
        <v>14570332312</v>
      </c>
      <c r="G36" s="57">
        <f aca="true" t="shared" si="5" ref="G36:O36">+G18+G34</f>
        <v>-11381639890</v>
      </c>
      <c r="H36" s="57">
        <f t="shared" si="5"/>
        <v>-13532513454</v>
      </c>
      <c r="I36" s="57">
        <f t="shared" si="5"/>
        <v>-453098238</v>
      </c>
      <c r="J36" s="57">
        <f t="shared" si="5"/>
        <v>13861332758</v>
      </c>
      <c r="K36" s="57">
        <f t="shared" si="5"/>
        <v>771935666</v>
      </c>
      <c r="L36" s="57">
        <f t="shared" si="5"/>
        <v>21040338015</v>
      </c>
      <c r="M36" s="57">
        <f t="shared" si="5"/>
        <v>2166881493</v>
      </c>
      <c r="N36" s="57">
        <f t="shared" si="5"/>
        <v>2160032074</v>
      </c>
      <c r="O36" s="57">
        <f t="shared" si="5"/>
        <v>29203600736</v>
      </c>
    </row>
    <row r="37" spans="1:15" ht="12.75">
      <c r="A37" s="59"/>
      <c r="B37" s="12"/>
      <c r="C37" s="12"/>
      <c r="D37" s="12"/>
      <c r="E37" s="12"/>
      <c r="F37" s="11">
        <f>+F36</f>
        <v>14570332312</v>
      </c>
      <c r="G37" s="11">
        <f>+G36+H36+I36</f>
        <v>-25367251582</v>
      </c>
      <c r="H37" s="12"/>
      <c r="I37" s="15"/>
      <c r="J37" s="15">
        <f>+J36+K36</f>
        <v>14633268424</v>
      </c>
      <c r="K37" s="15"/>
      <c r="L37" s="15">
        <f>+L36+M36+N36</f>
        <v>25367251582</v>
      </c>
      <c r="M37" s="15"/>
      <c r="N37" s="15"/>
      <c r="O37" s="15">
        <f aca="true" t="shared" si="6" ref="O37:O68">SUM(F37:N37)</f>
        <v>29203600736</v>
      </c>
    </row>
    <row r="38" spans="9:15" ht="12.75">
      <c r="I38" s="1"/>
      <c r="J38" s="1"/>
      <c r="K38" s="1"/>
      <c r="L38" s="1"/>
      <c r="M38" s="1"/>
      <c r="N38" s="1"/>
      <c r="O38" s="1">
        <f t="shared" si="6"/>
        <v>0</v>
      </c>
    </row>
    <row r="39" spans="9:15" ht="12.75">
      <c r="I39" s="1"/>
      <c r="J39" s="1"/>
      <c r="K39" s="1"/>
      <c r="L39" s="1"/>
      <c r="M39" s="1"/>
      <c r="N39" s="1"/>
      <c r="O39" s="1">
        <f t="shared" si="6"/>
        <v>0</v>
      </c>
    </row>
    <row r="40" spans="9:15" ht="12.75">
      <c r="I40" s="1"/>
      <c r="J40" s="1"/>
      <c r="K40" s="1"/>
      <c r="L40" s="1"/>
      <c r="M40" s="1"/>
      <c r="N40" s="1"/>
      <c r="O40" s="1">
        <f t="shared" si="6"/>
        <v>0</v>
      </c>
    </row>
    <row r="41" spans="9:15" ht="12.75">
      <c r="I41" s="1"/>
      <c r="J41" s="1"/>
      <c r="K41" s="1"/>
      <c r="L41" s="1"/>
      <c r="M41" s="1"/>
      <c r="N41" s="1"/>
      <c r="O41" s="1">
        <f t="shared" si="6"/>
        <v>0</v>
      </c>
    </row>
    <row r="42" spans="9:15" ht="12.75">
      <c r="I42" s="1"/>
      <c r="J42" s="1"/>
      <c r="K42" s="1"/>
      <c r="L42" s="1"/>
      <c r="M42" s="1"/>
      <c r="N42" s="1"/>
      <c r="O42" s="1">
        <f t="shared" si="6"/>
        <v>0</v>
      </c>
    </row>
    <row r="43" spans="9:15" ht="12.75">
      <c r="I43" s="1"/>
      <c r="J43" s="1"/>
      <c r="K43" s="1"/>
      <c r="L43" s="1"/>
      <c r="M43" s="1"/>
      <c r="N43" s="1"/>
      <c r="O43" s="1">
        <f t="shared" si="6"/>
        <v>0</v>
      </c>
    </row>
    <row r="44" spans="9:15" ht="12.75">
      <c r="I44" s="1"/>
      <c r="J44" s="1"/>
      <c r="K44" s="1"/>
      <c r="L44" s="1"/>
      <c r="M44" s="1"/>
      <c r="N44" s="1"/>
      <c r="O44" s="1">
        <f t="shared" si="6"/>
        <v>0</v>
      </c>
    </row>
    <row r="45" spans="9:15" ht="12.75">
      <c r="I45" s="1"/>
      <c r="J45" s="1"/>
      <c r="K45" s="1"/>
      <c r="L45" s="1"/>
      <c r="M45" s="1"/>
      <c r="N45" s="1"/>
      <c r="O45" s="1">
        <f t="shared" si="6"/>
        <v>0</v>
      </c>
    </row>
    <row r="46" spans="9:15" ht="12.75">
      <c r="I46" s="1"/>
      <c r="J46" s="1"/>
      <c r="K46" s="1"/>
      <c r="L46" s="1"/>
      <c r="M46" s="1"/>
      <c r="N46" s="1"/>
      <c r="O46" s="1">
        <f t="shared" si="6"/>
        <v>0</v>
      </c>
    </row>
    <row r="47" spans="9:15" ht="12.75">
      <c r="I47" s="1"/>
      <c r="J47" s="1"/>
      <c r="K47" s="1"/>
      <c r="L47" s="1"/>
      <c r="M47" s="1"/>
      <c r="N47" s="1"/>
      <c r="O47" s="1">
        <f t="shared" si="6"/>
        <v>0</v>
      </c>
    </row>
    <row r="48" spans="9:15" ht="12.75">
      <c r="I48" s="1"/>
      <c r="J48" s="1"/>
      <c r="K48" s="1"/>
      <c r="L48" s="1"/>
      <c r="M48" s="1"/>
      <c r="N48" s="1"/>
      <c r="O48" s="1">
        <f t="shared" si="6"/>
        <v>0</v>
      </c>
    </row>
    <row r="49" spans="9:15" ht="12.75">
      <c r="I49" s="1"/>
      <c r="J49" s="1"/>
      <c r="K49" s="1"/>
      <c r="L49" s="1"/>
      <c r="M49" s="1"/>
      <c r="N49" s="1"/>
      <c r="O49" s="1">
        <f t="shared" si="6"/>
        <v>0</v>
      </c>
    </row>
    <row r="50" spans="9:15" ht="12.75">
      <c r="I50" s="1"/>
      <c r="J50" s="1"/>
      <c r="K50" s="1"/>
      <c r="L50" s="1"/>
      <c r="M50" s="1"/>
      <c r="N50" s="1"/>
      <c r="O50" s="1">
        <f t="shared" si="6"/>
        <v>0</v>
      </c>
    </row>
    <row r="51" spans="9:15" ht="12.75">
      <c r="I51" s="1"/>
      <c r="J51" s="1"/>
      <c r="K51" s="1"/>
      <c r="L51" s="1"/>
      <c r="M51" s="1"/>
      <c r="N51" s="1"/>
      <c r="O51" s="1">
        <f t="shared" si="6"/>
        <v>0</v>
      </c>
    </row>
    <row r="52" spans="9:15" ht="12.75">
      <c r="I52" s="1"/>
      <c r="J52" s="1"/>
      <c r="K52" s="1"/>
      <c r="L52" s="1"/>
      <c r="M52" s="1"/>
      <c r="N52" s="1"/>
      <c r="O52" s="1">
        <f t="shared" si="6"/>
        <v>0</v>
      </c>
    </row>
    <row r="53" spans="9:15" ht="12.75">
      <c r="I53" s="1"/>
      <c r="J53" s="1"/>
      <c r="K53" s="1"/>
      <c r="L53" s="1"/>
      <c r="M53" s="1"/>
      <c r="N53" s="1"/>
      <c r="O53" s="1">
        <f t="shared" si="6"/>
        <v>0</v>
      </c>
    </row>
    <row r="54" spans="9:15" ht="12.75">
      <c r="I54" s="1"/>
      <c r="J54" s="1"/>
      <c r="K54" s="1"/>
      <c r="L54" s="1"/>
      <c r="M54" s="1"/>
      <c r="N54" s="1"/>
      <c r="O54" s="1">
        <f t="shared" si="6"/>
        <v>0</v>
      </c>
    </row>
    <row r="55" spans="9:15" ht="12.75">
      <c r="I55" s="1"/>
      <c r="J55" s="1"/>
      <c r="K55" s="1"/>
      <c r="L55" s="1"/>
      <c r="M55" s="1"/>
      <c r="N55" s="1"/>
      <c r="O55" s="1">
        <f t="shared" si="6"/>
        <v>0</v>
      </c>
    </row>
    <row r="56" spans="9:15" ht="12.75">
      <c r="I56" s="1"/>
      <c r="J56" s="1"/>
      <c r="K56" s="1"/>
      <c r="L56" s="1"/>
      <c r="M56" s="1"/>
      <c r="N56" s="1"/>
      <c r="O56" s="1">
        <f t="shared" si="6"/>
        <v>0</v>
      </c>
    </row>
    <row r="57" spans="9:15" ht="12.75">
      <c r="I57" s="1"/>
      <c r="J57" s="1"/>
      <c r="K57" s="1"/>
      <c r="L57" s="1"/>
      <c r="M57" s="1"/>
      <c r="N57" s="1"/>
      <c r="O57" s="1">
        <f t="shared" si="6"/>
        <v>0</v>
      </c>
    </row>
    <row r="58" spans="9:15" ht="12.75">
      <c r="I58" s="1"/>
      <c r="J58" s="1"/>
      <c r="K58" s="1"/>
      <c r="L58" s="1"/>
      <c r="M58" s="1"/>
      <c r="N58" s="1"/>
      <c r="O58" s="1">
        <f t="shared" si="6"/>
        <v>0</v>
      </c>
    </row>
    <row r="59" spans="9:15" ht="12.75">
      <c r="I59" s="1"/>
      <c r="J59" s="1"/>
      <c r="K59" s="1"/>
      <c r="L59" s="1"/>
      <c r="M59" s="1"/>
      <c r="N59" s="1"/>
      <c r="O59" s="1">
        <f t="shared" si="6"/>
        <v>0</v>
      </c>
    </row>
    <row r="60" spans="9:15" ht="12.75">
      <c r="I60" s="1"/>
      <c r="J60" s="1"/>
      <c r="K60" s="1"/>
      <c r="L60" s="1"/>
      <c r="M60" s="1"/>
      <c r="N60" s="1"/>
      <c r="O60" s="1">
        <f t="shared" si="6"/>
        <v>0</v>
      </c>
    </row>
    <row r="61" spans="9:15" ht="12.75">
      <c r="I61" s="1"/>
      <c r="J61" s="1"/>
      <c r="K61" s="1"/>
      <c r="L61" s="1"/>
      <c r="M61" s="1"/>
      <c r="N61" s="1"/>
      <c r="O61" s="1">
        <f t="shared" si="6"/>
        <v>0</v>
      </c>
    </row>
    <row r="62" spans="9:15" ht="12.75">
      <c r="I62" s="1"/>
      <c r="J62" s="1"/>
      <c r="K62" s="1"/>
      <c r="L62" s="1"/>
      <c r="M62" s="1"/>
      <c r="N62" s="1"/>
      <c r="O62" s="1">
        <f t="shared" si="6"/>
        <v>0</v>
      </c>
    </row>
    <row r="63" spans="9:15" ht="12.75">
      <c r="I63" s="1"/>
      <c r="J63" s="1"/>
      <c r="K63" s="1"/>
      <c r="L63" s="1"/>
      <c r="M63" s="1"/>
      <c r="N63" s="1"/>
      <c r="O63" s="1">
        <f t="shared" si="6"/>
        <v>0</v>
      </c>
    </row>
    <row r="64" spans="9:15" ht="12.75">
      <c r="I64" s="1"/>
      <c r="J64" s="1"/>
      <c r="K64" s="1"/>
      <c r="L64" s="1"/>
      <c r="M64" s="1"/>
      <c r="N64" s="1"/>
      <c r="O64" s="1">
        <f t="shared" si="6"/>
        <v>0</v>
      </c>
    </row>
    <row r="65" spans="9:15" ht="12.75">
      <c r="I65" s="1"/>
      <c r="J65" s="1"/>
      <c r="K65" s="1"/>
      <c r="L65" s="1"/>
      <c r="M65" s="1"/>
      <c r="N65" s="1"/>
      <c r="O65" s="1">
        <f t="shared" si="6"/>
        <v>0</v>
      </c>
    </row>
    <row r="66" spans="9:15" ht="12.75">
      <c r="I66" s="1"/>
      <c r="J66" s="1"/>
      <c r="K66" s="1"/>
      <c r="L66" s="1"/>
      <c r="M66" s="1"/>
      <c r="N66" s="1"/>
      <c r="O66" s="1">
        <f t="shared" si="6"/>
        <v>0</v>
      </c>
    </row>
    <row r="67" spans="9:15" ht="12.75">
      <c r="I67" s="1"/>
      <c r="J67" s="1"/>
      <c r="K67" s="1"/>
      <c r="L67" s="1"/>
      <c r="M67" s="1"/>
      <c r="N67" s="1"/>
      <c r="O67" s="1">
        <f t="shared" si="6"/>
        <v>0</v>
      </c>
    </row>
    <row r="68" spans="9:15" ht="12.75">
      <c r="I68" s="1"/>
      <c r="J68" s="1"/>
      <c r="K68" s="1"/>
      <c r="L68" s="1"/>
      <c r="M68" s="1"/>
      <c r="N68" s="1"/>
      <c r="O68" s="1">
        <f t="shared" si="6"/>
        <v>0</v>
      </c>
    </row>
    <row r="69" spans="9:15" ht="12.75">
      <c r="I69" s="1"/>
      <c r="J69" s="1"/>
      <c r="K69" s="1"/>
      <c r="L69" s="1"/>
      <c r="M69" s="1"/>
      <c r="N69" s="1"/>
      <c r="O69" s="1">
        <f aca="true" t="shared" si="7" ref="O69:O96">SUM(F69:N69)</f>
        <v>0</v>
      </c>
    </row>
    <row r="70" spans="9:15" ht="12.75">
      <c r="I70" s="1"/>
      <c r="J70" s="1"/>
      <c r="K70" s="1"/>
      <c r="L70" s="1"/>
      <c r="M70" s="1"/>
      <c r="N70" s="1"/>
      <c r="O70" s="1">
        <f t="shared" si="7"/>
        <v>0</v>
      </c>
    </row>
    <row r="71" spans="9:15" ht="12.75">
      <c r="I71" s="1"/>
      <c r="J71" s="1"/>
      <c r="K71" s="1"/>
      <c r="L71" s="1"/>
      <c r="M71" s="1"/>
      <c r="N71" s="1"/>
      <c r="O71" s="1">
        <f t="shared" si="7"/>
        <v>0</v>
      </c>
    </row>
    <row r="72" spans="9:15" ht="12.75">
      <c r="I72" s="1"/>
      <c r="J72" s="1"/>
      <c r="K72" s="1"/>
      <c r="L72" s="1"/>
      <c r="M72" s="1"/>
      <c r="N72" s="1"/>
      <c r="O72" s="1">
        <f t="shared" si="7"/>
        <v>0</v>
      </c>
    </row>
    <row r="73" spans="9:15" ht="12.75">
      <c r="I73" s="1"/>
      <c r="J73" s="1"/>
      <c r="K73" s="1"/>
      <c r="L73" s="1"/>
      <c r="M73" s="1"/>
      <c r="N73" s="1"/>
      <c r="O73" s="1">
        <f t="shared" si="7"/>
        <v>0</v>
      </c>
    </row>
    <row r="74" spans="9:15" ht="12.75">
      <c r="I74" s="1"/>
      <c r="J74" s="1"/>
      <c r="K74" s="1"/>
      <c r="L74" s="1"/>
      <c r="M74" s="1"/>
      <c r="N74" s="1"/>
      <c r="O74" s="1">
        <f t="shared" si="7"/>
        <v>0</v>
      </c>
    </row>
    <row r="75" spans="9:15" ht="12.75">
      <c r="I75" s="1"/>
      <c r="J75" s="1"/>
      <c r="K75" s="1"/>
      <c r="L75" s="1"/>
      <c r="M75" s="1"/>
      <c r="N75" s="1"/>
      <c r="O75" s="1">
        <f t="shared" si="7"/>
        <v>0</v>
      </c>
    </row>
    <row r="76" spans="9:15" ht="12.75">
      <c r="I76" s="1"/>
      <c r="J76" s="1"/>
      <c r="K76" s="1"/>
      <c r="L76" s="1"/>
      <c r="M76" s="1"/>
      <c r="N76" s="1"/>
      <c r="O76" s="1">
        <f t="shared" si="7"/>
        <v>0</v>
      </c>
    </row>
    <row r="77" spans="9:15" ht="12.75">
      <c r="I77" s="1"/>
      <c r="J77" s="1"/>
      <c r="K77" s="1"/>
      <c r="L77" s="1"/>
      <c r="M77" s="1"/>
      <c r="N77" s="1"/>
      <c r="O77" s="1">
        <f t="shared" si="7"/>
        <v>0</v>
      </c>
    </row>
    <row r="78" spans="9:15" ht="12.75">
      <c r="I78" s="1"/>
      <c r="J78" s="1"/>
      <c r="K78" s="1"/>
      <c r="L78" s="1"/>
      <c r="M78" s="1"/>
      <c r="N78" s="1"/>
      <c r="O78" s="1">
        <f t="shared" si="7"/>
        <v>0</v>
      </c>
    </row>
    <row r="79" spans="9:15" ht="12.75">
      <c r="I79" s="1"/>
      <c r="J79" s="1"/>
      <c r="K79" s="1"/>
      <c r="L79" s="1"/>
      <c r="M79" s="1"/>
      <c r="N79" s="1"/>
      <c r="O79" s="1">
        <f t="shared" si="7"/>
        <v>0</v>
      </c>
    </row>
    <row r="80" spans="9:15" ht="12.75">
      <c r="I80" s="1"/>
      <c r="J80" s="1"/>
      <c r="K80" s="1"/>
      <c r="L80" s="1"/>
      <c r="M80" s="1"/>
      <c r="N80" s="1"/>
      <c r="O80" s="1">
        <f t="shared" si="7"/>
        <v>0</v>
      </c>
    </row>
    <row r="81" spans="9:15" ht="12.75">
      <c r="I81" s="1"/>
      <c r="J81" s="1"/>
      <c r="K81" s="1"/>
      <c r="L81" s="1"/>
      <c r="M81" s="1"/>
      <c r="N81" s="1"/>
      <c r="O81" s="1">
        <f t="shared" si="7"/>
        <v>0</v>
      </c>
    </row>
    <row r="82" spans="9:15" ht="12.75">
      <c r="I82" s="1"/>
      <c r="J82" s="1"/>
      <c r="K82" s="1"/>
      <c r="L82" s="1"/>
      <c r="M82" s="1"/>
      <c r="N82" s="1"/>
      <c r="O82" s="1">
        <f t="shared" si="7"/>
        <v>0</v>
      </c>
    </row>
    <row r="83" spans="9:15" ht="12.75">
      <c r="I83" s="1"/>
      <c r="J83" s="1"/>
      <c r="K83" s="1"/>
      <c r="L83" s="1"/>
      <c r="M83" s="1"/>
      <c r="N83" s="1"/>
      <c r="O83" s="1">
        <f t="shared" si="7"/>
        <v>0</v>
      </c>
    </row>
    <row r="84" spans="9:15" ht="12.75">
      <c r="I84" s="1"/>
      <c r="J84" s="1"/>
      <c r="K84" s="1"/>
      <c r="L84" s="1"/>
      <c r="M84" s="1"/>
      <c r="N84" s="1"/>
      <c r="O84" s="1">
        <f t="shared" si="7"/>
        <v>0</v>
      </c>
    </row>
    <row r="85" spans="9:15" ht="12.75">
      <c r="I85" s="1"/>
      <c r="J85" s="1"/>
      <c r="K85" s="1"/>
      <c r="L85" s="1"/>
      <c r="M85" s="1"/>
      <c r="N85" s="1"/>
      <c r="O85" s="1">
        <f t="shared" si="7"/>
        <v>0</v>
      </c>
    </row>
    <row r="86" spans="9:15" ht="12.75">
      <c r="I86" s="1"/>
      <c r="J86" s="1"/>
      <c r="K86" s="1"/>
      <c r="L86" s="1"/>
      <c r="M86" s="1"/>
      <c r="N86" s="1"/>
      <c r="O86" s="1">
        <f t="shared" si="7"/>
        <v>0</v>
      </c>
    </row>
    <row r="87" spans="9:15" ht="12.75">
      <c r="I87" s="1"/>
      <c r="J87" s="1"/>
      <c r="K87" s="1"/>
      <c r="L87" s="1"/>
      <c r="M87" s="1"/>
      <c r="N87" s="1"/>
      <c r="O87" s="1">
        <f t="shared" si="7"/>
        <v>0</v>
      </c>
    </row>
    <row r="88" spans="9:15" ht="12.75">
      <c r="I88" s="1"/>
      <c r="J88" s="1"/>
      <c r="K88" s="1"/>
      <c r="L88" s="1"/>
      <c r="M88" s="1"/>
      <c r="N88" s="1"/>
      <c r="O88" s="1">
        <f t="shared" si="7"/>
        <v>0</v>
      </c>
    </row>
    <row r="89" spans="9:15" ht="12.75">
      <c r="I89" s="1"/>
      <c r="J89" s="1"/>
      <c r="K89" s="1"/>
      <c r="L89" s="1"/>
      <c r="M89" s="1"/>
      <c r="N89" s="1"/>
      <c r="O89" s="1">
        <f t="shared" si="7"/>
        <v>0</v>
      </c>
    </row>
    <row r="90" spans="9:15" ht="12.75">
      <c r="I90" s="1"/>
      <c r="J90" s="1"/>
      <c r="K90" s="1"/>
      <c r="L90" s="1"/>
      <c r="M90" s="1"/>
      <c r="N90" s="1"/>
      <c r="O90" s="1">
        <f t="shared" si="7"/>
        <v>0</v>
      </c>
    </row>
    <row r="91" spans="9:15" ht="12.75">
      <c r="I91" s="1"/>
      <c r="J91" s="1"/>
      <c r="K91" s="1"/>
      <c r="L91" s="1"/>
      <c r="M91" s="1"/>
      <c r="N91" s="1"/>
      <c r="O91" s="1">
        <f t="shared" si="7"/>
        <v>0</v>
      </c>
    </row>
    <row r="92" spans="9:15" ht="12.75">
      <c r="I92" s="1"/>
      <c r="J92" s="1"/>
      <c r="K92" s="1"/>
      <c r="L92" s="1"/>
      <c r="M92" s="1"/>
      <c r="N92" s="1"/>
      <c r="O92" s="1">
        <f t="shared" si="7"/>
        <v>0</v>
      </c>
    </row>
    <row r="93" spans="9:15" ht="12.75">
      <c r="I93" s="1"/>
      <c r="J93" s="1"/>
      <c r="K93" s="1"/>
      <c r="L93" s="1"/>
      <c r="M93" s="1"/>
      <c r="N93" s="1"/>
      <c r="O93" s="1">
        <f t="shared" si="7"/>
        <v>0</v>
      </c>
    </row>
    <row r="94" spans="9:15" ht="12.75">
      <c r="I94" s="1"/>
      <c r="J94" s="1"/>
      <c r="K94" s="1"/>
      <c r="L94" s="1"/>
      <c r="M94" s="1"/>
      <c r="N94" s="1"/>
      <c r="O94" s="1">
        <f t="shared" si="7"/>
        <v>0</v>
      </c>
    </row>
    <row r="95" spans="9:15" ht="12.75">
      <c r="I95" s="1"/>
      <c r="J95" s="1"/>
      <c r="K95" s="1"/>
      <c r="L95" s="1"/>
      <c r="M95" s="1"/>
      <c r="N95" s="1"/>
      <c r="O95" s="1">
        <f t="shared" si="7"/>
        <v>0</v>
      </c>
    </row>
    <row r="96" spans="9:15" ht="12.75">
      <c r="I96" s="1"/>
      <c r="J96" s="1"/>
      <c r="K96" s="1"/>
      <c r="L96" s="1"/>
      <c r="M96" s="1"/>
      <c r="N96" s="1"/>
      <c r="O96" s="1">
        <f t="shared" si="7"/>
        <v>0</v>
      </c>
    </row>
    <row r="97" spans="9:14" ht="12.75">
      <c r="I97" s="1"/>
      <c r="J97" s="1"/>
      <c r="K97" s="1"/>
      <c r="L97" s="1"/>
      <c r="M97" s="1"/>
      <c r="N97" s="1"/>
    </row>
    <row r="98" spans="9:14" ht="12.75">
      <c r="I98" s="1"/>
      <c r="J98" s="1"/>
      <c r="K98" s="1"/>
      <c r="L98" s="1"/>
      <c r="M98" s="1"/>
      <c r="N98" s="1"/>
    </row>
    <row r="99" spans="9:14" ht="12.75">
      <c r="I99" s="1"/>
      <c r="J99" s="1"/>
      <c r="K99" s="1"/>
      <c r="L99" s="1"/>
      <c r="M99" s="1"/>
      <c r="N99" s="1"/>
    </row>
    <row r="100" spans="9:14" ht="12.75">
      <c r="I100" s="1"/>
      <c r="J100" s="1"/>
      <c r="K100" s="1"/>
      <c r="L100" s="1"/>
      <c r="M100" s="1"/>
      <c r="N100" s="1"/>
    </row>
    <row r="101" spans="9:14" ht="12.75">
      <c r="I101" s="1"/>
      <c r="J101" s="1"/>
      <c r="K101" s="1"/>
      <c r="L101" s="1"/>
      <c r="M101" s="1"/>
      <c r="N101" s="1"/>
    </row>
    <row r="102" spans="9:14" ht="12.75">
      <c r="I102" s="1"/>
      <c r="J102" s="1"/>
      <c r="K102" s="1"/>
      <c r="L102" s="1"/>
      <c r="M102" s="1"/>
      <c r="N102" s="1"/>
    </row>
    <row r="103" spans="9:14" ht="12.75">
      <c r="I103" s="1"/>
      <c r="J103" s="1"/>
      <c r="K103" s="1"/>
      <c r="L103" s="1"/>
      <c r="M103" s="1"/>
      <c r="N103" s="1"/>
    </row>
    <row r="104" spans="9:14" ht="12.75">
      <c r="I104" s="1"/>
      <c r="J104" s="1"/>
      <c r="K104" s="1"/>
      <c r="L104" s="1"/>
      <c r="M104" s="1"/>
      <c r="N104" s="1"/>
    </row>
    <row r="105" spans="9:14" ht="12.75">
      <c r="I105" s="1"/>
      <c r="J105" s="1"/>
      <c r="K105" s="1"/>
      <c r="L105" s="1"/>
      <c r="M105" s="1"/>
      <c r="N105" s="1"/>
    </row>
    <row r="106" spans="9:14" ht="12.75">
      <c r="I106" s="1"/>
      <c r="J106" s="1"/>
      <c r="K106" s="1"/>
      <c r="L106" s="1"/>
      <c r="M106" s="1"/>
      <c r="N106" s="1"/>
    </row>
    <row r="107" spans="9:14" ht="12.75">
      <c r="I107" s="1"/>
      <c r="J107" s="1"/>
      <c r="K107" s="1"/>
      <c r="L107" s="1"/>
      <c r="M107" s="1"/>
      <c r="N107" s="1"/>
    </row>
    <row r="108" spans="9:14" ht="12.75">
      <c r="I108" s="1"/>
      <c r="J108" s="1"/>
      <c r="K108" s="1"/>
      <c r="L108" s="1"/>
      <c r="M108" s="1"/>
      <c r="N108" s="1"/>
    </row>
    <row r="109" spans="9:14" ht="12.75">
      <c r="I109" s="1"/>
      <c r="J109" s="1"/>
      <c r="K109" s="1"/>
      <c r="L109" s="1"/>
      <c r="M109" s="1"/>
      <c r="N109" s="1"/>
    </row>
    <row r="110" spans="9:14" ht="12.75">
      <c r="I110" s="1"/>
      <c r="J110" s="1"/>
      <c r="K110" s="1"/>
      <c r="L110" s="1"/>
      <c r="M110" s="1"/>
      <c r="N110" s="1"/>
    </row>
    <row r="111" spans="9:14" ht="12.75">
      <c r="I111" s="1"/>
      <c r="J111" s="1"/>
      <c r="K111" s="1"/>
      <c r="L111" s="1"/>
      <c r="M111" s="1"/>
      <c r="N111" s="1"/>
    </row>
    <row r="112" spans="9:14" ht="12.75">
      <c r="I112" s="1"/>
      <c r="J112" s="1"/>
      <c r="K112" s="1"/>
      <c r="L112" s="1"/>
      <c r="M112" s="1"/>
      <c r="N112" s="1"/>
    </row>
    <row r="113" spans="9:14" ht="12.75">
      <c r="I113" s="1"/>
      <c r="J113" s="1"/>
      <c r="K113" s="1"/>
      <c r="L113" s="1"/>
      <c r="M113" s="1"/>
      <c r="N113" s="1"/>
    </row>
    <row r="114" spans="9:14" ht="12.75">
      <c r="I114" s="1"/>
      <c r="J114" s="1"/>
      <c r="K114" s="1"/>
      <c r="L114" s="1"/>
      <c r="M114" s="1"/>
      <c r="N114" s="1"/>
    </row>
    <row r="115" spans="9:14" ht="12.75">
      <c r="I115" s="1"/>
      <c r="J115" s="1"/>
      <c r="K115" s="1"/>
      <c r="L115" s="1"/>
      <c r="M115" s="1"/>
      <c r="N115" s="1"/>
    </row>
    <row r="116" spans="9:14" ht="12.75">
      <c r="I116" s="1"/>
      <c r="J116" s="1"/>
      <c r="K116" s="1"/>
      <c r="L116" s="1"/>
      <c r="M116" s="1"/>
      <c r="N116" s="1"/>
    </row>
    <row r="117" spans="9:14" ht="12.75">
      <c r="I117" s="1"/>
      <c r="J117" s="1"/>
      <c r="K117" s="1"/>
      <c r="L117" s="1"/>
      <c r="M117" s="1"/>
      <c r="N117" s="1"/>
    </row>
    <row r="118" spans="9:14" ht="12.75">
      <c r="I118" s="1"/>
      <c r="J118" s="1"/>
      <c r="K118" s="1"/>
      <c r="L118" s="1"/>
      <c r="M118" s="1"/>
      <c r="N118" s="1"/>
    </row>
    <row r="119" spans="9:14" ht="12.75">
      <c r="I119" s="1"/>
      <c r="J119" s="1"/>
      <c r="K119" s="1"/>
      <c r="L119" s="1"/>
      <c r="M119" s="1"/>
      <c r="N119" s="1"/>
    </row>
    <row r="120" spans="9:14" ht="12.75">
      <c r="I120" s="1"/>
      <c r="J120" s="1"/>
      <c r="K120" s="1"/>
      <c r="L120" s="1"/>
      <c r="M120" s="1"/>
      <c r="N120" s="1"/>
    </row>
    <row r="121" spans="9:14" ht="12.75">
      <c r="I121" s="1"/>
      <c r="J121" s="1"/>
      <c r="K121" s="1"/>
      <c r="L121" s="1"/>
      <c r="M121" s="1"/>
      <c r="N121" s="1"/>
    </row>
    <row r="122" spans="9:14" ht="12.75">
      <c r="I122" s="1"/>
      <c r="J122" s="1"/>
      <c r="K122" s="1"/>
      <c r="L122" s="1"/>
      <c r="M122" s="1"/>
      <c r="N122" s="1"/>
    </row>
    <row r="123" spans="9:14" ht="12.75">
      <c r="I123" s="1"/>
      <c r="J123" s="1"/>
      <c r="K123" s="1"/>
      <c r="L123" s="1"/>
      <c r="M123" s="1"/>
      <c r="N123" s="1"/>
    </row>
    <row r="124" spans="9:14" ht="12.75">
      <c r="I124" s="1"/>
      <c r="J124" s="1"/>
      <c r="K124" s="1"/>
      <c r="L124" s="1"/>
      <c r="M124" s="1"/>
      <c r="N124" s="1"/>
    </row>
    <row r="125" spans="9:14" ht="12.75">
      <c r="I125" s="1"/>
      <c r="J125" s="1"/>
      <c r="K125" s="1"/>
      <c r="L125" s="1"/>
      <c r="M125" s="1"/>
      <c r="N125" s="1"/>
    </row>
    <row r="126" spans="9:14" ht="12.75">
      <c r="I126" s="1"/>
      <c r="J126" s="1"/>
      <c r="K126" s="1"/>
      <c r="L126" s="1"/>
      <c r="M126" s="1"/>
      <c r="N126" s="1"/>
    </row>
    <row r="127" spans="9:14" ht="12.75">
      <c r="I127" s="1"/>
      <c r="J127" s="1"/>
      <c r="K127" s="1"/>
      <c r="L127" s="1"/>
      <c r="M127" s="1"/>
      <c r="N127" s="1"/>
    </row>
    <row r="128" spans="9:14" ht="12.75">
      <c r="I128" s="1"/>
      <c r="J128" s="1"/>
      <c r="K128" s="1"/>
      <c r="L128" s="1"/>
      <c r="M128" s="1"/>
      <c r="N128" s="1"/>
    </row>
    <row r="129" spans="9:14" ht="12.75">
      <c r="I129" s="1"/>
      <c r="J129" s="1"/>
      <c r="K129" s="1"/>
      <c r="L129" s="1"/>
      <c r="M129" s="1"/>
      <c r="N129" s="1"/>
    </row>
    <row r="130" spans="9:14" ht="12.75">
      <c r="I130" s="1"/>
      <c r="J130" s="1"/>
      <c r="K130" s="1"/>
      <c r="L130" s="1"/>
      <c r="M130" s="1"/>
      <c r="N130" s="1"/>
    </row>
    <row r="131" spans="9:14" ht="12.75">
      <c r="I131" s="1"/>
      <c r="J131" s="1"/>
      <c r="K131" s="1"/>
      <c r="L131" s="1"/>
      <c r="M131" s="1"/>
      <c r="N131" s="1"/>
    </row>
    <row r="132" spans="9:14" ht="12.75">
      <c r="I132" s="1"/>
      <c r="J132" s="1"/>
      <c r="K132" s="1"/>
      <c r="L132" s="1"/>
      <c r="M132" s="1"/>
      <c r="N132" s="1"/>
    </row>
    <row r="133" spans="9:14" ht="12.75">
      <c r="I133" s="1"/>
      <c r="J133" s="1"/>
      <c r="K133" s="1"/>
      <c r="L133" s="1"/>
      <c r="M133" s="1"/>
      <c r="N133" s="1"/>
    </row>
    <row r="134" spans="9:14" ht="12.75">
      <c r="I134" s="1"/>
      <c r="J134" s="1"/>
      <c r="K134" s="1"/>
      <c r="L134" s="1"/>
      <c r="M134" s="1"/>
      <c r="N134" s="1"/>
    </row>
    <row r="135" spans="9:14" ht="12.75">
      <c r="I135" s="1"/>
      <c r="J135" s="1"/>
      <c r="K135" s="1"/>
      <c r="L135" s="1"/>
      <c r="M135" s="1"/>
      <c r="N135" s="1"/>
    </row>
    <row r="136" spans="9:14" ht="12.75">
      <c r="I136" s="1"/>
      <c r="J136" s="1"/>
      <c r="K136" s="1"/>
      <c r="L136" s="1"/>
      <c r="M136" s="1"/>
      <c r="N136" s="1"/>
    </row>
    <row r="137" spans="9:14" ht="12.75">
      <c r="I137" s="1"/>
      <c r="J137" s="1"/>
      <c r="K137" s="1"/>
      <c r="L137" s="1"/>
      <c r="M137" s="1"/>
      <c r="N137" s="1"/>
    </row>
    <row r="138" spans="9:14" ht="12.75">
      <c r="I138" s="1"/>
      <c r="J138" s="1"/>
      <c r="K138" s="1"/>
      <c r="L138" s="1"/>
      <c r="M138" s="1"/>
      <c r="N138" s="1"/>
    </row>
    <row r="139" spans="9:14" ht="12.75">
      <c r="I139" s="1"/>
      <c r="J139" s="1"/>
      <c r="K139" s="1"/>
      <c r="L139" s="1"/>
      <c r="M139" s="1"/>
      <c r="N139" s="1"/>
    </row>
    <row r="140" spans="9:14" ht="12.75">
      <c r="I140" s="1"/>
      <c r="J140" s="1"/>
      <c r="K140" s="1"/>
      <c r="L140" s="1"/>
      <c r="M140" s="1"/>
      <c r="N140" s="1"/>
    </row>
    <row r="141" spans="9:14" ht="12.75">
      <c r="I141" s="1"/>
      <c r="J141" s="1"/>
      <c r="K141" s="1"/>
      <c r="L141" s="1"/>
      <c r="M141" s="1"/>
      <c r="N141" s="1"/>
    </row>
    <row r="142" spans="9:14" ht="12.75">
      <c r="I142" s="1"/>
      <c r="J142" s="1"/>
      <c r="K142" s="1"/>
      <c r="L142" s="1"/>
      <c r="M142" s="1"/>
      <c r="N142" s="1"/>
    </row>
    <row r="143" spans="9:14" ht="12.75">
      <c r="I143" s="1"/>
      <c r="J143" s="1"/>
      <c r="K143" s="1"/>
      <c r="L143" s="1"/>
      <c r="M143" s="1"/>
      <c r="N143" s="1"/>
    </row>
    <row r="144" spans="9:14" ht="12.75">
      <c r="I144" s="1"/>
      <c r="J144" s="1"/>
      <c r="K144" s="1"/>
      <c r="L144" s="1"/>
      <c r="M144" s="1"/>
      <c r="N144" s="1"/>
    </row>
    <row r="145" spans="9:14" ht="12.75">
      <c r="I145" s="1"/>
      <c r="J145" s="1"/>
      <c r="K145" s="1"/>
      <c r="L145" s="1"/>
      <c r="M145" s="1"/>
      <c r="N145" s="1"/>
    </row>
    <row r="146" spans="9:14" ht="12.75">
      <c r="I146" s="1"/>
      <c r="J146" s="1"/>
      <c r="K146" s="1"/>
      <c r="L146" s="1"/>
      <c r="M146" s="1"/>
      <c r="N146" s="1"/>
    </row>
    <row r="147" spans="9:14" ht="12.75">
      <c r="I147" s="1"/>
      <c r="J147" s="1"/>
      <c r="K147" s="1"/>
      <c r="L147" s="1"/>
      <c r="M147" s="1"/>
      <c r="N147" s="1"/>
    </row>
    <row r="148" spans="9:14" ht="12.75">
      <c r="I148" s="1"/>
      <c r="J148" s="1"/>
      <c r="K148" s="1"/>
      <c r="L148" s="1"/>
      <c r="M148" s="1"/>
      <c r="N148" s="1"/>
    </row>
    <row r="149" spans="9:14" ht="12.75">
      <c r="I149" s="1"/>
      <c r="J149" s="1"/>
      <c r="K149" s="1"/>
      <c r="L149" s="1"/>
      <c r="M149" s="1"/>
      <c r="N149" s="1"/>
    </row>
    <row r="150" spans="9:14" ht="12.75">
      <c r="I150" s="1"/>
      <c r="J150" s="1"/>
      <c r="K150" s="1"/>
      <c r="L150" s="1"/>
      <c r="M150" s="1"/>
      <c r="N150" s="1"/>
    </row>
    <row r="151" spans="9:14" ht="12.75">
      <c r="I151" s="1"/>
      <c r="J151" s="1"/>
      <c r="K151" s="1"/>
      <c r="L151" s="1"/>
      <c r="M151" s="1"/>
      <c r="N151" s="1"/>
    </row>
    <row r="152" spans="9:14" ht="12.75">
      <c r="I152" s="1"/>
      <c r="J152" s="1"/>
      <c r="K152" s="1"/>
      <c r="L152" s="1"/>
      <c r="M152" s="1"/>
      <c r="N152" s="1"/>
    </row>
    <row r="153" spans="9:14" ht="12.75">
      <c r="I153" s="1"/>
      <c r="J153" s="1"/>
      <c r="K153" s="1"/>
      <c r="L153" s="1"/>
      <c r="M153" s="1"/>
      <c r="N153" s="1"/>
    </row>
    <row r="154" spans="9:14" ht="12.75">
      <c r="I154" s="1"/>
      <c r="J154" s="1"/>
      <c r="K154" s="1"/>
      <c r="L154" s="1"/>
      <c r="M154" s="1"/>
      <c r="N154" s="1"/>
    </row>
    <row r="155" spans="9:14" ht="12.75">
      <c r="I155" s="1"/>
      <c r="J155" s="1"/>
      <c r="K155" s="1"/>
      <c r="L155" s="1"/>
      <c r="M155" s="1"/>
      <c r="N155" s="1"/>
    </row>
    <row r="156" spans="9:14" ht="12.75">
      <c r="I156" s="1"/>
      <c r="J156" s="1"/>
      <c r="K156" s="1"/>
      <c r="L156" s="1"/>
      <c r="M156" s="1"/>
      <c r="N156" s="1"/>
    </row>
    <row r="157" spans="9:14" ht="12.75">
      <c r="I157" s="1"/>
      <c r="J157" s="1"/>
      <c r="K157" s="1"/>
      <c r="L157" s="1"/>
      <c r="M157" s="1"/>
      <c r="N157" s="1"/>
    </row>
    <row r="158" spans="9:14" ht="12.75">
      <c r="I158" s="1"/>
      <c r="J158" s="1"/>
      <c r="K158" s="1"/>
      <c r="L158" s="1"/>
      <c r="M158" s="1"/>
      <c r="N158" s="1"/>
    </row>
    <row r="159" spans="9:14" ht="12.75">
      <c r="I159" s="1"/>
      <c r="J159" s="1"/>
      <c r="K159" s="1"/>
      <c r="L159" s="1"/>
      <c r="M159" s="1"/>
      <c r="N159" s="1"/>
    </row>
    <row r="160" spans="9:14" ht="12.75">
      <c r="I160" s="1"/>
      <c r="J160" s="1"/>
      <c r="K160" s="1"/>
      <c r="L160" s="1"/>
      <c r="M160" s="1"/>
      <c r="N160" s="1"/>
    </row>
    <row r="161" spans="9:14" ht="12.75">
      <c r="I161" s="1"/>
      <c r="J161" s="1"/>
      <c r="K161" s="1"/>
      <c r="L161" s="1"/>
      <c r="M161" s="1"/>
      <c r="N161" s="1"/>
    </row>
    <row r="162" spans="9:14" ht="12.75">
      <c r="I162" s="1"/>
      <c r="J162" s="1"/>
      <c r="K162" s="1"/>
      <c r="L162" s="1"/>
      <c r="M162" s="1"/>
      <c r="N162" s="1"/>
    </row>
    <row r="163" spans="9:14" ht="12.75">
      <c r="I163" s="1"/>
      <c r="J163" s="1"/>
      <c r="K163" s="1"/>
      <c r="L163" s="1"/>
      <c r="M163" s="1"/>
      <c r="N163" s="1"/>
    </row>
    <row r="164" spans="9:14" ht="12.75">
      <c r="I164" s="1"/>
      <c r="J164" s="1"/>
      <c r="K164" s="1"/>
      <c r="L164" s="1"/>
      <c r="M164" s="1"/>
      <c r="N164" s="1"/>
    </row>
    <row r="165" spans="9:14" ht="12.75">
      <c r="I165" s="1"/>
      <c r="J165" s="1"/>
      <c r="K165" s="1"/>
      <c r="L165" s="1"/>
      <c r="M165" s="1"/>
      <c r="N165" s="1"/>
    </row>
    <row r="166" spans="9:14" ht="12.75">
      <c r="I166" s="1"/>
      <c r="J166" s="1"/>
      <c r="K166" s="1"/>
      <c r="L166" s="1"/>
      <c r="M166" s="1"/>
      <c r="N166" s="1"/>
    </row>
    <row r="167" spans="9:14" ht="12.75">
      <c r="I167" s="1"/>
      <c r="J167" s="1"/>
      <c r="K167" s="1"/>
      <c r="L167" s="1"/>
      <c r="M167" s="1"/>
      <c r="N167" s="1"/>
    </row>
    <row r="168" spans="9:14" ht="12.75">
      <c r="I168" s="1"/>
      <c r="J168" s="1"/>
      <c r="K168" s="1"/>
      <c r="L168" s="1"/>
      <c r="M168" s="1"/>
      <c r="N168" s="1"/>
    </row>
    <row r="169" spans="9:14" ht="12.75">
      <c r="I169" s="1"/>
      <c r="J169" s="1"/>
      <c r="K169" s="1"/>
      <c r="L169" s="1"/>
      <c r="M169" s="1"/>
      <c r="N169" s="1"/>
    </row>
    <row r="170" spans="9:14" ht="12.75">
      <c r="I170" s="1"/>
      <c r="J170" s="1"/>
      <c r="K170" s="1"/>
      <c r="L170" s="1"/>
      <c r="M170" s="1"/>
      <c r="N170" s="1"/>
    </row>
    <row r="171" spans="9:14" ht="12.75">
      <c r="I171" s="1"/>
      <c r="J171" s="1"/>
      <c r="K171" s="1"/>
      <c r="L171" s="1"/>
      <c r="M171" s="1"/>
      <c r="N171" s="1"/>
    </row>
    <row r="172" spans="9:14" ht="12.75">
      <c r="I172" s="1"/>
      <c r="J172" s="1"/>
      <c r="K172" s="1"/>
      <c r="L172" s="1"/>
      <c r="M172" s="1"/>
      <c r="N172" s="1"/>
    </row>
    <row r="173" spans="9:14" ht="12.75">
      <c r="I173" s="1"/>
      <c r="J173" s="1"/>
      <c r="K173" s="1"/>
      <c r="L173" s="1"/>
      <c r="M173" s="1"/>
      <c r="N173" s="1"/>
    </row>
    <row r="174" spans="9:14" ht="12.75">
      <c r="I174" s="1"/>
      <c r="J174" s="1"/>
      <c r="K174" s="1"/>
      <c r="L174" s="1"/>
      <c r="M174" s="1"/>
      <c r="N174" s="1"/>
    </row>
    <row r="175" spans="9:14" ht="12.75">
      <c r="I175" s="1"/>
      <c r="J175" s="1"/>
      <c r="K175" s="1"/>
      <c r="L175" s="1"/>
      <c r="M175" s="1"/>
      <c r="N175" s="1"/>
    </row>
    <row r="176" spans="9:14" ht="12.75">
      <c r="I176" s="1"/>
      <c r="J176" s="1"/>
      <c r="K176" s="1"/>
      <c r="L176" s="1"/>
      <c r="M176" s="1"/>
      <c r="N176" s="1"/>
    </row>
    <row r="177" spans="9:14" ht="12.75">
      <c r="I177" s="1"/>
      <c r="J177" s="1"/>
      <c r="K177" s="1"/>
      <c r="L177" s="1"/>
      <c r="M177" s="1"/>
      <c r="N177" s="1"/>
    </row>
    <row r="178" spans="9:14" ht="12.75">
      <c r="I178" s="1"/>
      <c r="J178" s="1"/>
      <c r="K178" s="1"/>
      <c r="L178" s="1"/>
      <c r="M178" s="1"/>
      <c r="N178" s="1"/>
    </row>
    <row r="179" spans="9:14" ht="12.75">
      <c r="I179" s="1"/>
      <c r="J179" s="1"/>
      <c r="K179" s="1"/>
      <c r="L179" s="1"/>
      <c r="M179" s="1"/>
      <c r="N179" s="1"/>
    </row>
    <row r="180" spans="9:14" ht="12.75">
      <c r="I180" s="1"/>
      <c r="J180" s="1"/>
      <c r="K180" s="1"/>
      <c r="L180" s="1"/>
      <c r="M180" s="1"/>
      <c r="N180" s="1"/>
    </row>
    <row r="181" spans="9:14" ht="12.75">
      <c r="I181" s="1"/>
      <c r="J181" s="1"/>
      <c r="K181" s="1"/>
      <c r="L181" s="1"/>
      <c r="M181" s="1"/>
      <c r="N18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Vitelio Barrera Alvarez</cp:lastModifiedBy>
  <cp:lastPrinted>2019-01-28T13:09:47Z</cp:lastPrinted>
  <dcterms:created xsi:type="dcterms:W3CDTF">2007-01-13T18:42:48Z</dcterms:created>
  <dcterms:modified xsi:type="dcterms:W3CDTF">2019-05-21T14:21:54Z</dcterms:modified>
  <cp:category/>
  <cp:version/>
  <cp:contentType/>
  <cp:contentStatus/>
</cp:coreProperties>
</file>