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<sst xmlns="http://schemas.openxmlformats.org/spreadsheetml/2006/main" count="472" uniqueCount="172">
  <si>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</si>
  <si>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</si>
  <si>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</si>
  <si>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</si>
  <si>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</si>
  <si>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</si>
  <si>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</si>
  <si>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</si>
  <si>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</si>
  <si>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</si>
  <si>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</si>
  <si>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</si>
  <si>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</si>
  <si>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</si>
  <si>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</si>
  <si>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</si>
  <si>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</si>
  <si>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</si>
  <si>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</si>
  <si>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</si>
  <si>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</si>
  <si>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</si>
  <si>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</si>
  <si>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</si>
  <si>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</si>
  <si>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</si>
  <si>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</si>
  <si>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</si>
  <si>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</si>
  <si>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</si>
  <si>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</si>
  <si>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</si>
  <si>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</si>
  <si>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</si>
  <si>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</si>
  <si>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</si>
  <si>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</si>
  <si>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</si>
  <si>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</si>
  <si>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</si>
  <si>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</si>
  <si>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</si>
  <si>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</si>
  <si>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</si>
  <si>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</si>
  <si>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</si>
  <si>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</si>
  <si>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</si>
  <si>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</si>
  <si>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</si>
  <si>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</si>
  <si>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</si>
  <si>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</si>
  <si>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</si>
  <si>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</si>
  <si>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</si>
  <si>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</si>
  <si>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</si>
  <si>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</si>
  <si>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</si>
  <si>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</si>
  <si>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</si>
  <si>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</si>
  <si>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</si>
  <si>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</si>
  <si>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</si>
  <si>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</si>
  <si>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</si>
  <si>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</si>
  <si>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</si>
  <si>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</si>
  <si>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</si>
  <si>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</si>
  <si>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</si>
  <si>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</si>
  <si>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</si>
  <si>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</si>
  <si>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</si>
  <si>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</si>
  <si>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</si>
  <si>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</si>
  <si>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</si>
  <si>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</si>
  <si>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</si>
  <si>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</si>
  <si>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</si>
  <si>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</si>
  <si>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</si>
  <si>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</si>
  <si>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</si>
  <si>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</si>
  <si>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</si>
  <si>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</si>
  <si>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</si>
  <si>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</si>
  <si>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</si>
  <si>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</si>
  <si>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</si>
  <si>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</si>
  <si>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</si>
  <si>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</si>
  <si>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</si>
  <si>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</si>
  <si>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</si>
  <si>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</si>
  <si>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</si>
  <si>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</si>
  <si>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</si>
  <si>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</si>
  <si>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</si>
  <si>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</si>
  <si>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</si>
  <si>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</si>
  <si>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</si>
  <si>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</si>
  <si>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</si>
  <si>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</si>
  <si>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</si>
  <si>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</si>
  <si>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</si>
  <si>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</si>
  <si>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</si>
  <si>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</si>
  <si>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</si>
  <si>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</si>
  <si>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</si>
  <si>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</si>
  <si>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</si>
  <si>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</si>
  <si>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</si>
  <si>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</si>
  <si>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</si>
  <si>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</si>
  <si>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</si>
  <si>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</si>
  <si>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</si>
  <si>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</si>
  <si>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</si>
  <si>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</si>
  <si>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</si>
  <si>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</si>
  <si>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</si>
  <si>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</si>
  <si>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</si>
  <si>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</si>
  <si>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</si>
  <si>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</si>
  <si>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</si>
  <si>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</si>
  <si>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</si>
  <si>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</si>
  <si>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</si>
  <si>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</si>
  <si>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</si>
  <si>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</si>
  <si>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</si>
  <si>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</si>
  <si>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</si>
  <si>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</si>
  <si>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</si>
  <si>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</si>
  <si>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</si>
  <si>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</si>
  <si>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</si>
  <si>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</si>
  <si>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</si>
  <si>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</si>
  <si>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OBLIGACIONES</t>
  </si>
  <si>
    <t>Implementacion de medidas de mitigacion para promover un desarrollo y ordenamiento resiliente al cliam sobre carbono em arco de la politica nacional del cambio climatico  en 23 municipios del departamento del huila</t>
  </si>
  <si>
    <t>EJECUCION PRESUPUESTAL GASTOS DE INVERSION RECURSOS PROPIOS A SEPTIEMBRE 30 DE 2018</t>
  </si>
  <si>
    <t>EJECUCION PRESUPUESTAL GASTOS DE INVERSION RECURSOS NACION  A SEPTIEMBRE 30 DE 2018</t>
  </si>
  <si>
    <t>EJECUCION PRESUPUESTAL A SEPTIEMBRE 30 DE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</si>
</sst>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INGRESOS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INGRESOS A "/>
    </sheetNames>
    <sheetDataSet>
      <sheetData sheetId="1">
        <row r="44">
          <cell r="D44">
            <v>28065000415</v>
          </cell>
          <cell r="F44">
            <v>42044824242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zoomScalePageLayoutView="0" workbookViewId="0" topLeftCell="A6">
      <selection activeCell="W31" sqref="W31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  <col min="27" max="27" width="12.7109375" style="0" bestFit="1" customWidth="1"/>
  </cols>
  <sheetData>
    <row r="1" spans="1:53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2.75">
      <c r="A2" s="148" t="s">
        <v>171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2.75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167</v>
      </c>
      <c r="W5" s="18" t="s">
        <v>86</v>
      </c>
      <c r="X5" s="18" t="s">
        <v>79</v>
      </c>
      <c r="Y5" s="18"/>
      <c r="Z5" s="18" t="s">
        <v>74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/>
      <c r="W6" s="18"/>
      <c r="X6" s="18" t="s">
        <v>80</v>
      </c>
      <c r="Y6" s="18"/>
      <c r="Z6" s="1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"/>
      <c r="Z7" s="2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1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9"/>
      <c r="W8" s="9"/>
      <c r="X8" s="2"/>
      <c r="Y8" s="2"/>
      <c r="Z8" s="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6440852095</v>
      </c>
      <c r="H9" s="13">
        <f>SUM(H10+H23+H27)</f>
        <v>688135252</v>
      </c>
      <c r="I9" s="19">
        <f>+G9+H9</f>
        <v>7128987347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4614951350</v>
      </c>
      <c r="M9" s="28">
        <f aca="true" t="shared" si="1" ref="M9:M31">+J9/I9*100</f>
        <v>35.26498048924086</v>
      </c>
      <c r="N9" s="28">
        <f>+K9/I9*100</f>
        <v>35.26498048924086</v>
      </c>
      <c r="O9" s="2"/>
      <c r="P9" s="2"/>
      <c r="Q9" s="2"/>
      <c r="R9" s="2"/>
      <c r="S9" s="4">
        <f>SUM(S10+S23+S27)</f>
        <v>3228996405</v>
      </c>
      <c r="T9" s="4">
        <f>SUM(T10+T23+T27)</f>
        <v>4093033080</v>
      </c>
      <c r="U9" s="4">
        <f>SUM(U10+U23+U27)</f>
        <v>3061828261</v>
      </c>
      <c r="V9" s="4">
        <f>SUM(V10+V23+V27)</f>
        <v>3526251609</v>
      </c>
      <c r="W9" s="4">
        <f>SUM(W10+W23+W27)</f>
        <v>3522304653</v>
      </c>
      <c r="X9" s="32">
        <f aca="true" t="shared" si="2" ref="X9:X31">+I9-T9</f>
        <v>3035954267</v>
      </c>
      <c r="Y9" s="2"/>
      <c r="Z9" s="28">
        <f aca="true" t="shared" si="3" ref="Z9:Z14">+T9/I9*100</f>
        <v>57.41394788310878</v>
      </c>
      <c r="AA9" s="34" t="s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2466640099</v>
      </c>
      <c r="H10" s="13">
        <f>SUM(H11+H18+H19+H20+H21+H22)</f>
        <v>154248075</v>
      </c>
      <c r="I10" s="19">
        <f>+G10+H10</f>
        <v>2620888174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1746469836</v>
      </c>
      <c r="M10" s="28">
        <f t="shared" si="1"/>
        <v>33.3634355969283</v>
      </c>
      <c r="N10" s="28">
        <f aca="true" t="shared" si="4" ref="N10:N31">+K10/I10*100</f>
        <v>33.3634355969283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1335315444</v>
      </c>
      <c r="U10" s="4">
        <f>SUM(U11+U18+U19+U20+U21+U22)</f>
        <v>817908944</v>
      </c>
      <c r="V10" s="4">
        <f>SUM(V11+V18+V19+V20+V21+V22)</f>
        <v>999715813</v>
      </c>
      <c r="W10" s="4">
        <f>SUM(W11+W18+W19+W20+W21+W22)</f>
        <v>995768857</v>
      </c>
      <c r="X10" s="32">
        <f t="shared" si="2"/>
        <v>1285572730</v>
      </c>
      <c r="Y10" s="2"/>
      <c r="Z10" s="28">
        <f t="shared" si="3"/>
        <v>50.94896673756367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1212342446</v>
      </c>
      <c r="H11" s="4">
        <f>SUM(H12:H17)</f>
        <v>62000000</v>
      </c>
      <c r="I11" s="19">
        <f aca="true" t="shared" si="5" ref="I11:I31">+G11+H11</f>
        <v>1274342446</v>
      </c>
      <c r="J11" s="20">
        <f>SUM(J12:J17)</f>
        <v>463627287</v>
      </c>
      <c r="K11" s="20">
        <f>SUM(K12:K17)</f>
        <v>463627287</v>
      </c>
      <c r="L11" s="87">
        <f t="shared" si="0"/>
        <v>810715159</v>
      </c>
      <c r="M11" s="28">
        <f t="shared" si="1"/>
        <v>36.38168754837191</v>
      </c>
      <c r="N11" s="28">
        <f t="shared" si="4"/>
        <v>36.38168754837191</v>
      </c>
      <c r="O11" s="2"/>
      <c r="P11" s="2"/>
      <c r="Q11" s="2"/>
      <c r="R11" s="2"/>
      <c r="S11" s="4">
        <f>SUM(S12:S17)</f>
        <v>462143059</v>
      </c>
      <c r="T11" s="4">
        <f>SUM(T12:T17)</f>
        <v>407198573</v>
      </c>
      <c r="U11" s="4">
        <f>SUM(U12:U17)</f>
        <v>351369746</v>
      </c>
      <c r="V11" s="4">
        <f>SUM(V12:V17)</f>
        <v>401984457</v>
      </c>
      <c r="W11" s="4">
        <f>SUM(W12:W17)</f>
        <v>401984457</v>
      </c>
      <c r="X11" s="32">
        <f t="shared" si="2"/>
        <v>867143873</v>
      </c>
      <c r="Y11" s="2"/>
      <c r="Z11" s="28">
        <f t="shared" si="3"/>
        <v>31.953622378203356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0</v>
      </c>
      <c r="I12" s="19">
        <f t="shared" si="5"/>
        <v>715736250</v>
      </c>
      <c r="J12" s="20">
        <v>280609080</v>
      </c>
      <c r="K12" s="20">
        <v>280609080</v>
      </c>
      <c r="L12" s="87">
        <f t="shared" si="0"/>
        <v>435127170</v>
      </c>
      <c r="M12" s="28">
        <f t="shared" si="1"/>
        <v>39.20565431749475</v>
      </c>
      <c r="N12" s="28">
        <f t="shared" si="4"/>
        <v>39.20565431749475</v>
      </c>
      <c r="O12" s="2"/>
      <c r="P12" s="2"/>
      <c r="Q12" s="2"/>
      <c r="R12" s="2"/>
      <c r="S12" s="4">
        <v>177733386</v>
      </c>
      <c r="T12" s="4">
        <v>159379463</v>
      </c>
      <c r="U12" s="4">
        <f>+T12</f>
        <v>159379463</v>
      </c>
      <c r="V12" s="4">
        <v>154166262</v>
      </c>
      <c r="W12" s="4">
        <f>+V12</f>
        <v>154166262</v>
      </c>
      <c r="X12" s="32">
        <f>+I12-T12</f>
        <v>556356787</v>
      </c>
      <c r="Y12" s="2"/>
      <c r="Z12" s="28">
        <f t="shared" si="3"/>
        <v>22.2679042733968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0</v>
      </c>
      <c r="I13" s="19">
        <f t="shared" si="5"/>
        <v>151880640</v>
      </c>
      <c r="J13" s="20">
        <v>41107639</v>
      </c>
      <c r="K13" s="20">
        <v>41107639</v>
      </c>
      <c r="L13" s="87">
        <f t="shared" si="0"/>
        <v>110773001</v>
      </c>
      <c r="M13" s="28">
        <f t="shared" si="1"/>
        <v>27.06575308084032</v>
      </c>
      <c r="N13" s="28">
        <f t="shared" si="4"/>
        <v>27.06575308084032</v>
      </c>
      <c r="O13" s="2"/>
      <c r="P13" s="2"/>
      <c r="Q13" s="2"/>
      <c r="R13" s="2"/>
      <c r="S13" s="4">
        <v>78846525</v>
      </c>
      <c r="T13" s="4">
        <v>83156684</v>
      </c>
      <c r="U13" s="4">
        <f>+T13</f>
        <v>83156684</v>
      </c>
      <c r="V13" s="4">
        <f>+T13</f>
        <v>83156684</v>
      </c>
      <c r="W13" s="4">
        <f>+V13</f>
        <v>83156684</v>
      </c>
      <c r="X13" s="32">
        <f t="shared" si="2"/>
        <v>68723956</v>
      </c>
      <c r="Y13" s="2"/>
      <c r="Z13" s="28">
        <f t="shared" si="3"/>
        <v>54.75133894616193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14603925</v>
      </c>
      <c r="H14" s="13">
        <v>35200000</v>
      </c>
      <c r="I14" s="19">
        <f t="shared" si="5"/>
        <v>49803925</v>
      </c>
      <c r="J14" s="20">
        <v>27219355</v>
      </c>
      <c r="K14" s="20">
        <v>27219355</v>
      </c>
      <c r="L14" s="87">
        <f t="shared" si="0"/>
        <v>22584570</v>
      </c>
      <c r="M14" s="28">
        <f t="shared" si="1"/>
        <v>54.653031864456466</v>
      </c>
      <c r="N14" s="28">
        <f t="shared" si="4"/>
        <v>54.653031864456466</v>
      </c>
      <c r="O14" s="2"/>
      <c r="P14" s="2"/>
      <c r="Q14" s="2"/>
      <c r="R14" s="2"/>
      <c r="S14" s="4">
        <v>31783291</v>
      </c>
      <c r="T14" s="4">
        <v>11074452</v>
      </c>
      <c r="U14" s="4">
        <f>+T14</f>
        <v>11074452</v>
      </c>
      <c r="V14" s="4">
        <v>11074136</v>
      </c>
      <c r="W14" s="4">
        <f>+V14</f>
        <v>11074136</v>
      </c>
      <c r="X14" s="32">
        <f t="shared" si="2"/>
        <v>38729473</v>
      </c>
      <c r="Y14" s="2"/>
      <c r="Z14" s="28">
        <f t="shared" si="3"/>
        <v>22.236102877433858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2">
        <f t="shared" si="2"/>
        <v>0</v>
      </c>
      <c r="Y15" s="2"/>
      <c r="Z15" s="28">
        <v>0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75558997</v>
      </c>
      <c r="H16" s="13">
        <v>0</v>
      </c>
      <c r="I16" s="19">
        <f t="shared" si="5"/>
        <v>75558997</v>
      </c>
      <c r="J16" s="20">
        <v>27788267</v>
      </c>
      <c r="K16" s="20">
        <v>27788267</v>
      </c>
      <c r="L16" s="87">
        <f t="shared" si="0"/>
        <v>47770730</v>
      </c>
      <c r="M16" s="28">
        <f t="shared" si="1"/>
        <v>36.776913542142445</v>
      </c>
      <c r="N16" s="28">
        <f t="shared" si="4"/>
        <v>36.776913542142445</v>
      </c>
      <c r="O16" s="2"/>
      <c r="P16" s="2"/>
      <c r="Q16" s="2"/>
      <c r="R16" s="2"/>
      <c r="S16" s="4">
        <v>22501709</v>
      </c>
      <c r="T16" s="4">
        <v>22386283</v>
      </c>
      <c r="U16" s="4">
        <f>+T16</f>
        <v>22386283</v>
      </c>
      <c r="V16" s="4">
        <f>+T16</f>
        <v>22386283</v>
      </c>
      <c r="W16" s="4">
        <f aca="true" t="shared" si="6" ref="W16:W22">+V16</f>
        <v>22386283</v>
      </c>
      <c r="X16" s="32">
        <f t="shared" si="2"/>
        <v>53172714</v>
      </c>
      <c r="Y16" s="2"/>
      <c r="Z16" s="28">
        <f aca="true" t="shared" si="7" ref="Z16:Z31">+T16/I16*100</f>
        <v>29.62755447905165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254562634</v>
      </c>
      <c r="H17" s="13">
        <f>154248075-92248075-35200000</f>
        <v>26800000</v>
      </c>
      <c r="I17" s="19">
        <f t="shared" si="5"/>
        <v>281362634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194459688</v>
      </c>
      <c r="M17" s="28">
        <f t="shared" si="1"/>
        <v>30.886455946385542</v>
      </c>
      <c r="N17" s="28">
        <f t="shared" si="4"/>
        <v>30.886455946385542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44067859+8072908+5683947+5353575+28821268+12974988+26227146</f>
        <v>131201691</v>
      </c>
      <c r="U17" s="4">
        <f>25111629+5550438+3050430+2763525+3442123+27188939+3132962+5132818</f>
        <v>75372864</v>
      </c>
      <c r="V17" s="4">
        <f>44067576+8072908+5683947+5353575+28820952+12974988+26227146</f>
        <v>131201092</v>
      </c>
      <c r="W17" s="4">
        <f>44067576+8072908+5683947+5353575+28820952+12974988+26227146</f>
        <v>131201092</v>
      </c>
      <c r="X17" s="32">
        <f t="shared" si="2"/>
        <v>150160943</v>
      </c>
      <c r="Y17" s="2"/>
      <c r="Z17" s="28">
        <f t="shared" si="7"/>
        <v>46.63081559010426</v>
      </c>
      <c r="AA17" s="34" t="s">
        <v>1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675056925</v>
      </c>
      <c r="H18" s="13">
        <v>92248075</v>
      </c>
      <c r="I18" s="19">
        <f>+G18+H18</f>
        <v>767305000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461306756</v>
      </c>
      <c r="M18" s="28">
        <f t="shared" si="1"/>
        <v>39.87961032444725</v>
      </c>
      <c r="N18" s="28">
        <f t="shared" si="4"/>
        <v>39.87961032444725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34844395+12647842+599343864</f>
        <v>646836101</v>
      </c>
      <c r="U18" s="4">
        <f>139038852-12099496+11827031+46492041</f>
        <v>185258428</v>
      </c>
      <c r="V18" s="4">
        <f>32311288+12598749+272542592</f>
        <v>317452629</v>
      </c>
      <c r="W18" s="4">
        <f>31011832+12598749+269895092</f>
        <v>313505673</v>
      </c>
      <c r="X18" s="32">
        <f t="shared" si="2"/>
        <v>120468899</v>
      </c>
      <c r="Y18" s="2"/>
      <c r="Z18" s="28">
        <f t="shared" si="7"/>
        <v>84.29973752288855</v>
      </c>
      <c r="AA18" s="34" t="s">
        <v>1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266537155</v>
      </c>
      <c r="H19" s="13">
        <v>0</v>
      </c>
      <c r="I19" s="19">
        <f t="shared" si="5"/>
        <v>266537155</v>
      </c>
      <c r="J19" s="20">
        <v>14234485</v>
      </c>
      <c r="K19" s="20">
        <v>14234485</v>
      </c>
      <c r="L19" s="87">
        <f t="shared" si="0"/>
        <v>252302670</v>
      </c>
      <c r="M19" s="28">
        <f t="shared" si="1"/>
        <v>5.340525601393171</v>
      </c>
      <c r="N19" s="28">
        <f t="shared" si="4"/>
        <v>5.340525601393171</v>
      </c>
      <c r="O19" s="28"/>
      <c r="P19" s="2"/>
      <c r="Q19" s="2"/>
      <c r="R19" s="2"/>
      <c r="S19" s="4">
        <v>139595008</v>
      </c>
      <c r="T19" s="4">
        <v>159283744</v>
      </c>
      <c r="U19" s="4">
        <f>+T19</f>
        <v>159283744</v>
      </c>
      <c r="V19" s="4">
        <v>158700769</v>
      </c>
      <c r="W19" s="4">
        <f t="shared" si="6"/>
        <v>158700769</v>
      </c>
      <c r="X19" s="32">
        <f t="shared" si="2"/>
        <v>107253411</v>
      </c>
      <c r="Y19" s="2"/>
      <c r="Z19" s="28">
        <f t="shared" si="7"/>
        <v>59.76042777225562</v>
      </c>
      <c r="AA19" s="34" t="s">
        <v>1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312703575-25925175-52565062</f>
        <v>234213338</v>
      </c>
      <c r="H20" s="13">
        <v>0</v>
      </c>
      <c r="I20" s="19">
        <f t="shared" si="5"/>
        <v>234213338</v>
      </c>
      <c r="J20" s="20">
        <v>58847998</v>
      </c>
      <c r="K20" s="20">
        <v>58847998</v>
      </c>
      <c r="L20" s="87">
        <f t="shared" si="0"/>
        <v>175365340</v>
      </c>
      <c r="M20" s="28">
        <f t="shared" si="1"/>
        <v>25.12580987168203</v>
      </c>
      <c r="N20" s="28">
        <f t="shared" si="4"/>
        <v>25.12580987168203</v>
      </c>
      <c r="O20" s="28"/>
      <c r="P20" s="2"/>
      <c r="Q20" s="2"/>
      <c r="R20" s="2"/>
      <c r="S20" s="4">
        <v>48681682</v>
      </c>
      <c r="T20" s="4">
        <v>91972322</v>
      </c>
      <c r="U20" s="4">
        <f>+T20</f>
        <v>91972322</v>
      </c>
      <c r="V20" s="4">
        <v>91630958</v>
      </c>
      <c r="W20" s="4">
        <f t="shared" si="6"/>
        <v>91630958</v>
      </c>
      <c r="X20" s="32">
        <f t="shared" si="2"/>
        <v>142241016</v>
      </c>
      <c r="Y20" s="2"/>
      <c r="Z20" s="28">
        <f t="shared" si="7"/>
        <v>39.268609885915204</v>
      </c>
      <c r="AA20" s="34" t="s">
        <v>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52565062</v>
      </c>
      <c r="H21" s="13">
        <v>0</v>
      </c>
      <c r="I21" s="19">
        <f t="shared" si="5"/>
        <v>52565062</v>
      </c>
      <c r="J21" s="20">
        <v>15733377</v>
      </c>
      <c r="K21" s="20">
        <v>15733377</v>
      </c>
      <c r="L21" s="87">
        <f t="shared" si="0"/>
        <v>36831685</v>
      </c>
      <c r="M21" s="28">
        <f t="shared" si="1"/>
        <v>29.931244064736383</v>
      </c>
      <c r="N21" s="28">
        <f t="shared" si="4"/>
        <v>29.931244064736383</v>
      </c>
      <c r="O21" s="28"/>
      <c r="P21" s="2"/>
      <c r="Q21" s="2"/>
      <c r="R21" s="2"/>
      <c r="S21" s="4">
        <v>18954215</v>
      </c>
      <c r="T21" s="4">
        <v>23498975</v>
      </c>
      <c r="U21" s="4">
        <f>+T21</f>
        <v>23498975</v>
      </c>
      <c r="V21" s="4">
        <f>29172677-5742177</f>
        <v>23430500</v>
      </c>
      <c r="W21" s="4">
        <f t="shared" si="6"/>
        <v>23430500</v>
      </c>
      <c r="X21" s="32">
        <f t="shared" si="2"/>
        <v>29066087</v>
      </c>
      <c r="Y21" s="2"/>
      <c r="Z21" s="28">
        <f t="shared" si="7"/>
        <v>44.7045510951742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25925173</v>
      </c>
      <c r="H22" s="13">
        <v>0</v>
      </c>
      <c r="I22" s="19">
        <f t="shared" si="5"/>
        <v>25925173</v>
      </c>
      <c r="J22" s="20">
        <v>15976947</v>
      </c>
      <c r="K22" s="20">
        <v>15976947</v>
      </c>
      <c r="L22" s="87">
        <f t="shared" si="0"/>
        <v>9948226</v>
      </c>
      <c r="M22" s="28">
        <f t="shared" si="1"/>
        <v>61.62715674067054</v>
      </c>
      <c r="N22" s="28">
        <f t="shared" si="4"/>
        <v>61.62715674067054</v>
      </c>
      <c r="O22" s="28"/>
      <c r="P22" s="2"/>
      <c r="Q22" s="2"/>
      <c r="R22" s="2"/>
      <c r="S22" s="4">
        <v>3960579</v>
      </c>
      <c r="T22" s="4">
        <v>6525729</v>
      </c>
      <c r="U22" s="4">
        <f>+T22</f>
        <v>6525729</v>
      </c>
      <c r="V22" s="4">
        <v>6516500</v>
      </c>
      <c r="W22" s="4">
        <f t="shared" si="6"/>
        <v>6516500</v>
      </c>
      <c r="X22" s="32">
        <f t="shared" si="2"/>
        <v>19399444</v>
      </c>
      <c r="Y22" s="2"/>
      <c r="Z22" s="28">
        <f t="shared" si="7"/>
        <v>25.171400013415536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1348963741</v>
      </c>
      <c r="H23" s="13">
        <f>+H24+H25+H26</f>
        <v>169646345</v>
      </c>
      <c r="I23" s="19">
        <f>+G23+H23</f>
        <v>1518610086</v>
      </c>
      <c r="J23" s="20">
        <f>SUM(J24:J26)</f>
        <v>837471929</v>
      </c>
      <c r="K23" s="20">
        <f>SUM(K24:K26)</f>
        <v>837471929</v>
      </c>
      <c r="L23" s="87">
        <f t="shared" si="0"/>
        <v>681138157</v>
      </c>
      <c r="M23" s="28">
        <f t="shared" si="1"/>
        <v>55.147265036668536</v>
      </c>
      <c r="N23" s="28">
        <f t="shared" si="4"/>
        <v>55.147265036668536</v>
      </c>
      <c r="O23" s="28"/>
      <c r="P23" s="2"/>
      <c r="Q23" s="2"/>
      <c r="R23" s="2"/>
      <c r="S23" s="4">
        <f>SUM(S24:S26)</f>
        <v>680793888</v>
      </c>
      <c r="T23" s="4">
        <f>SUM(T24:T26)</f>
        <v>1034367048</v>
      </c>
      <c r="U23" s="4">
        <f>SUM(U24:U26)</f>
        <v>520568729</v>
      </c>
      <c r="V23" s="4">
        <f>SUM(V24:V26)</f>
        <v>803185208</v>
      </c>
      <c r="W23" s="4">
        <f>SUM(W24:W26)</f>
        <v>803185208</v>
      </c>
      <c r="X23" s="32">
        <f t="shared" si="2"/>
        <v>484243038</v>
      </c>
      <c r="Y23" s="2"/>
      <c r="Z23" s="28">
        <f t="shared" si="7"/>
        <v>68.11274714528665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274139233</v>
      </c>
      <c r="H24" s="13">
        <f>55285016+9561142-4000000</f>
        <v>60846158</v>
      </c>
      <c r="I24" s="19">
        <f t="shared" si="5"/>
        <v>334985391</v>
      </c>
      <c r="J24" s="20">
        <f>134064120+89932764</f>
        <v>223996884</v>
      </c>
      <c r="K24" s="20">
        <f>134064120+89932764</f>
        <v>223996884</v>
      </c>
      <c r="L24" s="87">
        <f t="shared" si="0"/>
        <v>110988507</v>
      </c>
      <c r="M24" s="28">
        <f t="shared" si="1"/>
        <v>66.86765752122008</v>
      </c>
      <c r="N24" s="28">
        <f t="shared" si="4"/>
        <v>66.86765752122008</v>
      </c>
      <c r="O24" s="28"/>
      <c r="P24" s="2"/>
      <c r="Q24" s="2"/>
      <c r="R24" s="2"/>
      <c r="S24" s="4">
        <v>90516630</v>
      </c>
      <c r="T24" s="4">
        <f>90561565+106099402</f>
        <v>196660967</v>
      </c>
      <c r="U24" s="4">
        <v>71539421</v>
      </c>
      <c r="V24" s="4">
        <f>60200762+80998893</f>
        <v>141199655</v>
      </c>
      <c r="W24" s="4">
        <f>+V24</f>
        <v>141199655</v>
      </c>
      <c r="X24" s="32">
        <f t="shared" si="2"/>
        <v>138324424</v>
      </c>
      <c r="Y24" s="2"/>
      <c r="Z24" s="28">
        <f t="shared" si="7"/>
        <v>58.70732643382648</v>
      </c>
      <c r="AA24" s="34" t="s">
        <v>1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1016290508</v>
      </c>
      <c r="H25" s="13">
        <f>65648743+29151444+10000000+4000000</f>
        <v>108800187</v>
      </c>
      <c r="I25" s="19">
        <f t="shared" si="5"/>
        <v>1125090695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554426784</v>
      </c>
      <c r="M25" s="28">
        <f t="shared" si="1"/>
        <v>50.72159191575217</v>
      </c>
      <c r="N25" s="28">
        <f t="shared" si="4"/>
        <v>50.72159191575217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257820815+48421706+17802192+119157417+129523650+50893837+81544288+602400+86754756</f>
        <v>792521061</v>
      </c>
      <c r="U25" s="4">
        <f>105788413+23427623+12881000+100724267+49185142+19962215+84084828+602400+7938400-750000</f>
        <v>403844288</v>
      </c>
      <c r="V25" s="144">
        <f>167626318+20757445-688900+18239400-539553+110174397+129007497+22396000+79060829+600000+70347120</f>
        <v>616980553</v>
      </c>
      <c r="W25" s="4">
        <f>+V25</f>
        <v>616980553</v>
      </c>
      <c r="X25" s="32">
        <f t="shared" si="2"/>
        <v>332569634</v>
      </c>
      <c r="Y25" s="2"/>
      <c r="Z25" s="28">
        <f t="shared" si="7"/>
        <v>70.44063776565142</v>
      </c>
      <c r="AA25" s="34" t="s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13.5" thickBot="1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58534000</v>
      </c>
      <c r="H26" s="13">
        <v>0</v>
      </c>
      <c r="I26" s="19">
        <f t="shared" si="5"/>
        <v>58534000</v>
      </c>
      <c r="J26" s="20">
        <v>42811134</v>
      </c>
      <c r="K26" s="20">
        <v>42811134</v>
      </c>
      <c r="L26" s="87">
        <f t="shared" si="0"/>
        <v>15722866</v>
      </c>
      <c r="M26" s="28">
        <f t="shared" si="1"/>
        <v>73.13891755219188</v>
      </c>
      <c r="N26" s="28">
        <f t="shared" si="4"/>
        <v>73.13891755219188</v>
      </c>
      <c r="O26" s="28"/>
      <c r="P26" s="2"/>
      <c r="Q26" s="2"/>
      <c r="R26" s="2"/>
      <c r="S26" s="13">
        <v>45589938</v>
      </c>
      <c r="T26" s="13">
        <v>45185020</v>
      </c>
      <c r="U26" s="13">
        <f>+T26</f>
        <v>45185020</v>
      </c>
      <c r="V26" s="145">
        <v>45005000</v>
      </c>
      <c r="W26" s="13">
        <f>+V26</f>
        <v>45005000</v>
      </c>
      <c r="X26" s="32">
        <f t="shared" si="2"/>
        <v>13348980</v>
      </c>
      <c r="Y26" s="2"/>
      <c r="Z26" s="28">
        <f t="shared" si="7"/>
        <v>77.19448525643216</v>
      </c>
      <c r="AA26" s="34" t="s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2625248255</v>
      </c>
      <c r="H27" s="13">
        <f>+H28+H29+H30+H31</f>
        <v>364240832</v>
      </c>
      <c r="I27" s="19">
        <f t="shared" si="5"/>
        <v>2989489087</v>
      </c>
      <c r="J27" s="20">
        <f>SUM(J28:J31)</f>
        <v>802145730</v>
      </c>
      <c r="K27" s="20">
        <f>SUM(K28:K31)</f>
        <v>802145730</v>
      </c>
      <c r="L27" s="87">
        <f t="shared" si="0"/>
        <v>2187343357</v>
      </c>
      <c r="M27" s="28">
        <f t="shared" si="1"/>
        <v>26.832201311193483</v>
      </c>
      <c r="N27" s="28">
        <f t="shared" si="4"/>
        <v>26.832201311193483</v>
      </c>
      <c r="O27" s="28"/>
      <c r="P27" s="2"/>
      <c r="Q27" s="2"/>
      <c r="R27" s="2"/>
      <c r="S27" s="4">
        <f>SUM(S28:S31)</f>
        <v>1265405194</v>
      </c>
      <c r="T27" s="4">
        <f>SUM(T28:T31)</f>
        <v>1723350588</v>
      </c>
      <c r="U27" s="4">
        <f>SUM(U28:U31)</f>
        <v>1723350588</v>
      </c>
      <c r="V27" s="4">
        <f>SUM(V28:V31)</f>
        <v>1723350588</v>
      </c>
      <c r="W27" s="4">
        <f>SUM(W28:W31)</f>
        <v>1723350588</v>
      </c>
      <c r="X27" s="32">
        <f t="shared" si="2"/>
        <v>1266138499</v>
      </c>
      <c r="Y27" s="2"/>
      <c r="Z27" s="28">
        <f t="shared" si="7"/>
        <v>57.646993778773414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32928850</v>
      </c>
      <c r="H28" s="13">
        <v>5000000</v>
      </c>
      <c r="I28" s="19">
        <f t="shared" si="5"/>
        <v>37928850</v>
      </c>
      <c r="J28" s="20">
        <v>16797214</v>
      </c>
      <c r="K28" s="20">
        <v>16797214</v>
      </c>
      <c r="L28" s="87">
        <f t="shared" si="0"/>
        <v>21131636</v>
      </c>
      <c r="M28" s="28">
        <f t="shared" si="1"/>
        <v>44.28611465942152</v>
      </c>
      <c r="N28" s="28">
        <f t="shared" si="4"/>
        <v>44.28611465942152</v>
      </c>
      <c r="O28" s="28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32">
        <f t="shared" si="2"/>
        <v>37928850</v>
      </c>
      <c r="Y28" s="2"/>
      <c r="Z28" s="28">
        <f t="shared" si="7"/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2362319405</v>
      </c>
      <c r="H29" s="13">
        <v>318440832</v>
      </c>
      <c r="I29" s="19">
        <f t="shared" si="5"/>
        <v>2680760237</v>
      </c>
      <c r="J29" s="20">
        <v>740995272</v>
      </c>
      <c r="K29" s="20">
        <v>740995272</v>
      </c>
      <c r="L29" s="87">
        <f t="shared" si="0"/>
        <v>1939764965</v>
      </c>
      <c r="M29" s="28">
        <f t="shared" si="1"/>
        <v>27.64123630948947</v>
      </c>
      <c r="N29" s="28">
        <f t="shared" si="4"/>
        <v>27.64123630948947</v>
      </c>
      <c r="O29" s="28"/>
      <c r="P29" s="2"/>
      <c r="Q29" s="2"/>
      <c r="R29" s="2"/>
      <c r="S29" s="4">
        <v>951099213</v>
      </c>
      <c r="T29" s="4">
        <v>1647007096</v>
      </c>
      <c r="U29" s="4">
        <f>+T29</f>
        <v>1647007096</v>
      </c>
      <c r="V29" s="4">
        <f>+T29</f>
        <v>1647007096</v>
      </c>
      <c r="W29" s="4">
        <f>+V29</f>
        <v>1647007096</v>
      </c>
      <c r="X29" s="32">
        <f t="shared" si="2"/>
        <v>1033753141</v>
      </c>
      <c r="Y29" s="2"/>
      <c r="Z29" s="28">
        <f t="shared" si="7"/>
        <v>61.43806049000271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30000000</v>
      </c>
      <c r="H30" s="13">
        <v>800000</v>
      </c>
      <c r="I30" s="19">
        <f t="shared" si="5"/>
        <v>30800000</v>
      </c>
      <c r="J30" s="20">
        <v>21590305</v>
      </c>
      <c r="K30" s="20">
        <v>21590305</v>
      </c>
      <c r="L30" s="87">
        <f t="shared" si="0"/>
        <v>9209695</v>
      </c>
      <c r="M30" s="28">
        <f t="shared" si="1"/>
        <v>70.09839285714285</v>
      </c>
      <c r="N30" s="28">
        <f t="shared" si="4"/>
        <v>70.09839285714285</v>
      </c>
      <c r="O30" s="28"/>
      <c r="P30" s="2"/>
      <c r="Q30" s="2"/>
      <c r="R30" s="2"/>
      <c r="S30" s="4">
        <v>22814692</v>
      </c>
      <c r="T30" s="4">
        <v>30779903</v>
      </c>
      <c r="U30" s="4">
        <f>+T30</f>
        <v>30779903</v>
      </c>
      <c r="V30" s="4">
        <f>+T30</f>
        <v>30779903</v>
      </c>
      <c r="W30" s="4">
        <f>+V30</f>
        <v>30779903</v>
      </c>
      <c r="X30" s="32">
        <f t="shared" si="2"/>
        <v>20097</v>
      </c>
      <c r="Y30" s="2"/>
      <c r="Z30" s="28">
        <f t="shared" si="7"/>
        <v>99.93475000000001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40000000</v>
      </c>
      <c r="I31" s="19">
        <f t="shared" si="5"/>
        <v>240000000</v>
      </c>
      <c r="J31" s="20">
        <v>22762939</v>
      </c>
      <c r="K31" s="20">
        <v>22762939</v>
      </c>
      <c r="L31" s="87">
        <f t="shared" si="0"/>
        <v>217237061</v>
      </c>
      <c r="M31" s="28">
        <f t="shared" si="1"/>
        <v>9.484557916666667</v>
      </c>
      <c r="N31" s="28">
        <f t="shared" si="4"/>
        <v>9.484557916666667</v>
      </c>
      <c r="O31" s="28"/>
      <c r="P31" s="2"/>
      <c r="Q31" s="2"/>
      <c r="R31" s="2"/>
      <c r="S31" s="13">
        <v>291491289</v>
      </c>
      <c r="T31" s="13">
        <v>45563589</v>
      </c>
      <c r="U31" s="13">
        <f>+T31</f>
        <v>45563589</v>
      </c>
      <c r="V31" s="13">
        <f>+T31</f>
        <v>45563589</v>
      </c>
      <c r="W31" s="13">
        <f>+V31</f>
        <v>45563589</v>
      </c>
      <c r="X31" s="32">
        <f t="shared" si="2"/>
        <v>194436411</v>
      </c>
      <c r="Y31" s="2"/>
      <c r="Z31" s="28">
        <f t="shared" si="7"/>
        <v>18.98482875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>
      <c r="A34" s="85"/>
      <c r="B34" s="85"/>
      <c r="C34" s="85"/>
      <c r="D34" s="85"/>
      <c r="E34" s="85"/>
      <c r="F34" s="85"/>
      <c r="G34" s="96"/>
      <c r="H34" s="82"/>
      <c r="I34" s="121">
        <f>+I23+I27</f>
        <v>4508099173</v>
      </c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121">
        <f>+T23+T27</f>
        <v>2757717636</v>
      </c>
      <c r="U34" s="77"/>
      <c r="V34" s="121">
        <f>+V23+V27</f>
        <v>2526535796</v>
      </c>
      <c r="W34" s="121">
        <f>+W23+W27</f>
        <v>2526535796</v>
      </c>
      <c r="X34" s="77"/>
      <c r="Y34" s="77"/>
      <c r="Z34" s="58"/>
      <c r="AA34" s="34" t="s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77"/>
      <c r="W35" s="85" t="s">
        <v>1</v>
      </c>
      <c r="X35" s="126" t="s">
        <v>26</v>
      </c>
      <c r="Y35" s="77"/>
      <c r="Z35" s="58"/>
      <c r="AA35" s="34" t="s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7:53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Z36" s="1"/>
      <c r="AA36" s="34" t="s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148" t="s">
        <v>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34" t="s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148" t="s">
        <v>171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148" t="s">
        <v>81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167</v>
      </c>
      <c r="W42" s="18" t="s">
        <v>86</v>
      </c>
      <c r="X42" s="18" t="s">
        <v>84</v>
      </c>
      <c r="Y42" s="18"/>
      <c r="Z42" s="76" t="s">
        <v>74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/>
      <c r="W43" s="18"/>
      <c r="X43" s="18" t="s">
        <v>85</v>
      </c>
      <c r="Y43" s="18"/>
      <c r="Z43" s="7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2135610000</v>
      </c>
      <c r="H46" s="31">
        <f>SUM(H47+H57+H60)</f>
        <v>0</v>
      </c>
      <c r="I46" s="31">
        <f>+G46+H46</f>
        <v>2135610000</v>
      </c>
      <c r="J46" s="31">
        <f>SUM(J47+J57+J60)</f>
        <v>1370605803</v>
      </c>
      <c r="K46" s="31">
        <f>SUM(K47+K57+K60)</f>
        <v>1370605803</v>
      </c>
      <c r="L46" s="11">
        <f aca="true" t="shared" si="8" ref="L46:L61">+I46-J46</f>
        <v>765004197</v>
      </c>
      <c r="M46" s="33">
        <f aca="true" t="shared" si="9" ref="M46:M61">+J46/I46*100</f>
        <v>64.17865635579531</v>
      </c>
      <c r="N46" s="33">
        <f>+K46/I46*100</f>
        <v>64.17865635579531</v>
      </c>
      <c r="O46" s="33"/>
      <c r="P46" s="2"/>
      <c r="Q46" s="2"/>
      <c r="R46" s="2"/>
      <c r="S46" s="30">
        <f>+S47+S57+S60</f>
        <v>1779694302</v>
      </c>
      <c r="T46" s="30">
        <f>SUM(T47+T57+T60)</f>
        <v>1992589498</v>
      </c>
      <c r="U46" s="30">
        <f>SUM(U47+U57+U60)</f>
        <v>1992589498</v>
      </c>
      <c r="V46" s="30">
        <f>SUM(V47+V57+V60)</f>
        <v>1992589498</v>
      </c>
      <c r="W46" s="30">
        <f>SUM(W47+W57+W60)</f>
        <v>1988613298</v>
      </c>
      <c r="X46" s="32">
        <f aca="true" t="shared" si="10" ref="X46:X61">+I46-T46</f>
        <v>143020502</v>
      </c>
      <c r="Y46" s="2"/>
      <c r="Z46" s="28">
        <f aca="true" t="shared" si="11" ref="Z46:Z58">+T46/I46*100</f>
        <v>93.30306085849008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2101005000</v>
      </c>
      <c r="H47" s="31">
        <f>+H48+H53+H54+H55+H56</f>
        <v>0</v>
      </c>
      <c r="I47" s="31">
        <f>+I48+I53+I54+I55+I56</f>
        <v>2101005000</v>
      </c>
      <c r="J47" s="30">
        <f>+J48+J53+J54+J55+J56</f>
        <v>1346538803</v>
      </c>
      <c r="K47" s="30">
        <f>+K48+K53+K54+K55+K56</f>
        <v>1346538803</v>
      </c>
      <c r="L47" s="11">
        <f t="shared" si="8"/>
        <v>754466197</v>
      </c>
      <c r="M47" s="33">
        <f t="shared" si="9"/>
        <v>64.0902236310718</v>
      </c>
      <c r="N47" s="33">
        <f aca="true" t="shared" si="12" ref="N47:N61">+K47/I47*100</f>
        <v>64.0902236310718</v>
      </c>
      <c r="O47" s="33"/>
      <c r="P47" s="2"/>
      <c r="Q47" s="2"/>
      <c r="R47" s="2"/>
      <c r="S47" s="30">
        <f>+S48+S53+S54+S55+S56</f>
        <v>1755627302</v>
      </c>
      <c r="T47" s="31">
        <f>+T48+T53+T54+T55+T56</f>
        <v>1968522498</v>
      </c>
      <c r="U47" s="30">
        <f>+U48+U53+U54+U55+U56</f>
        <v>1968522498</v>
      </c>
      <c r="V47" s="31">
        <f>+V48+V53+V54+V55+V56</f>
        <v>1968522498</v>
      </c>
      <c r="W47" s="31">
        <f>+W48+W53+W54+W55+W56</f>
        <v>1968522498</v>
      </c>
      <c r="X47" s="32">
        <f t="shared" si="10"/>
        <v>132482502</v>
      </c>
      <c r="Y47" s="2"/>
      <c r="Z47" s="28">
        <f t="shared" si="11"/>
        <v>93.6943271434385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1764317000</v>
      </c>
      <c r="H48" s="11">
        <f>SUM(H49:H52)</f>
        <v>0</v>
      </c>
      <c r="I48" s="11">
        <f>SUM(I49:I52)</f>
        <v>1764317000</v>
      </c>
      <c r="J48" s="11">
        <f>SUM(J49:J52)</f>
        <v>1097699750</v>
      </c>
      <c r="K48" s="11">
        <f>SUM(K49:K52)</f>
        <v>1097699750</v>
      </c>
      <c r="L48" s="11">
        <f t="shared" si="8"/>
        <v>666617250</v>
      </c>
      <c r="M48" s="33">
        <f t="shared" si="9"/>
        <v>62.216696319312234</v>
      </c>
      <c r="N48" s="33">
        <f t="shared" si="12"/>
        <v>62.216696319312234</v>
      </c>
      <c r="O48" s="15"/>
      <c r="P48" s="2"/>
      <c r="Q48" s="2"/>
      <c r="R48" s="2"/>
      <c r="S48" s="32">
        <f>SUM(S49:S52)</f>
        <v>1418939302</v>
      </c>
      <c r="T48" s="11">
        <f>SUM(T49:T52)</f>
        <v>1632374498</v>
      </c>
      <c r="U48" s="32">
        <f>+T48</f>
        <v>1632374498</v>
      </c>
      <c r="V48" s="11">
        <f>SUM(V49:V52)</f>
        <v>1632374498</v>
      </c>
      <c r="W48" s="11">
        <f>SUM(W49:W52)</f>
        <v>1632374498</v>
      </c>
      <c r="X48" s="32">
        <f t="shared" si="10"/>
        <v>131942502</v>
      </c>
      <c r="Y48" s="2"/>
      <c r="Z48" s="28">
        <f t="shared" si="11"/>
        <v>92.52161023217484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1381203000</v>
      </c>
      <c r="H49" s="11">
        <v>0</v>
      </c>
      <c r="I49" s="11">
        <f>+G49+H49</f>
        <v>1381203000</v>
      </c>
      <c r="J49" s="31">
        <v>910042416</v>
      </c>
      <c r="K49" s="31">
        <v>910042416</v>
      </c>
      <c r="L49" s="11">
        <f t="shared" si="8"/>
        <v>471160584</v>
      </c>
      <c r="M49" s="33">
        <f t="shared" si="9"/>
        <v>65.88766575224642</v>
      </c>
      <c r="N49" s="33">
        <f t="shared" si="12"/>
        <v>65.88766575224642</v>
      </c>
      <c r="O49" s="15"/>
      <c r="P49" s="2"/>
      <c r="Q49" s="2"/>
      <c r="R49" s="2"/>
      <c r="S49" s="32">
        <v>1186166487</v>
      </c>
      <c r="T49" s="32">
        <f>+I49</f>
        <v>1381203000</v>
      </c>
      <c r="U49" s="32">
        <f aca="true" t="shared" si="13" ref="U49:U56">+T49</f>
        <v>1381203000</v>
      </c>
      <c r="V49" s="32">
        <f>+T49</f>
        <v>1381203000</v>
      </c>
      <c r="W49" s="32">
        <f>+V49</f>
        <v>1381203000</v>
      </c>
      <c r="X49" s="32">
        <f t="shared" si="10"/>
        <v>0</v>
      </c>
      <c r="Y49" s="2"/>
      <c r="Z49" s="28">
        <f t="shared" si="11"/>
        <v>100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1699000</v>
      </c>
      <c r="H50" s="11">
        <v>0</v>
      </c>
      <c r="I50" s="11">
        <f aca="true" t="shared" si="14" ref="I50:I57">+G50+H50</f>
        <v>1699000</v>
      </c>
      <c r="J50" s="31">
        <v>805455</v>
      </c>
      <c r="K50" s="31">
        <v>805455</v>
      </c>
      <c r="L50" s="11">
        <f t="shared" si="8"/>
        <v>893545</v>
      </c>
      <c r="M50" s="33">
        <f t="shared" si="9"/>
        <v>47.40759270158917</v>
      </c>
      <c r="N50" s="33">
        <f t="shared" si="12"/>
        <v>47.40759270158917</v>
      </c>
      <c r="O50" s="15"/>
      <c r="P50" s="2"/>
      <c r="Q50" s="2"/>
      <c r="R50" s="2"/>
      <c r="S50" s="32">
        <v>1068815</v>
      </c>
      <c r="T50" s="32">
        <v>1374323</v>
      </c>
      <c r="U50" s="32">
        <f t="shared" si="13"/>
        <v>1374323</v>
      </c>
      <c r="V50" s="32">
        <f>+T50</f>
        <v>1374323</v>
      </c>
      <c r="W50" s="32">
        <f>+V50</f>
        <v>1374323</v>
      </c>
      <c r="X50" s="32">
        <f t="shared" si="10"/>
        <v>324677</v>
      </c>
      <c r="Y50" s="2"/>
      <c r="Z50" s="28">
        <f t="shared" si="11"/>
        <v>80.89011183048852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135626000</v>
      </c>
      <c r="H51" s="11">
        <v>0</v>
      </c>
      <c r="I51" s="11">
        <f t="shared" si="14"/>
        <v>135626000</v>
      </c>
      <c r="J51" s="31">
        <v>97076221</v>
      </c>
      <c r="K51" s="31">
        <v>97076221</v>
      </c>
      <c r="L51" s="11">
        <f t="shared" si="8"/>
        <v>38549779</v>
      </c>
      <c r="M51" s="33">
        <f t="shared" si="9"/>
        <v>71.57640939052983</v>
      </c>
      <c r="N51" s="33">
        <f t="shared" si="12"/>
        <v>71.57640939052983</v>
      </c>
      <c r="O51" s="15"/>
      <c r="P51" s="2"/>
      <c r="Q51" s="2"/>
      <c r="R51" s="2"/>
      <c r="S51" s="89">
        <f>+I51</f>
        <v>135626000</v>
      </c>
      <c r="T51" s="32">
        <v>133773175</v>
      </c>
      <c r="U51" s="32">
        <f t="shared" si="13"/>
        <v>133773175</v>
      </c>
      <c r="V51" s="32">
        <f>+T51</f>
        <v>133773175</v>
      </c>
      <c r="W51" s="32">
        <f>+V51</f>
        <v>133773175</v>
      </c>
      <c r="X51" s="32">
        <f t="shared" si="10"/>
        <v>1852825</v>
      </c>
      <c r="Y51" s="2"/>
      <c r="Z51" s="28">
        <f t="shared" si="11"/>
        <v>98.63387182398655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v>245789000</v>
      </c>
      <c r="H52" s="11">
        <v>0</v>
      </c>
      <c r="I52" s="11">
        <f t="shared" si="14"/>
        <v>245789000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8"/>
        <v>156013342</v>
      </c>
      <c r="M52" s="33">
        <f t="shared" si="9"/>
        <v>36.52549870010456</v>
      </c>
      <c r="N52" s="33">
        <f t="shared" si="12"/>
        <v>36.52549870010456</v>
      </c>
      <c r="O52" s="15"/>
      <c r="P52" s="2"/>
      <c r="Q52" s="2"/>
      <c r="R52" s="2"/>
      <c r="S52" s="32">
        <f>13000000+62000000+21078000</f>
        <v>96078000</v>
      </c>
      <c r="T52" s="32">
        <f>13715000+36899000+65410000</f>
        <v>116024000</v>
      </c>
      <c r="U52" s="32">
        <f t="shared" si="13"/>
        <v>116024000</v>
      </c>
      <c r="V52" s="32">
        <f>+T52</f>
        <v>116024000</v>
      </c>
      <c r="W52" s="32">
        <f>+V52</f>
        <v>116024000</v>
      </c>
      <c r="X52" s="32">
        <f t="shared" si="10"/>
        <v>129765000</v>
      </c>
      <c r="Y52" s="2"/>
      <c r="Z52" s="28">
        <f t="shared" si="11"/>
        <v>47.2047162403525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4"/>
        <v>87565000</v>
      </c>
      <c r="J53" s="31">
        <f>+I53</f>
        <v>87565000</v>
      </c>
      <c r="K53" s="31">
        <f>+J53</f>
        <v>87565000</v>
      </c>
      <c r="L53" s="11">
        <f t="shared" si="8"/>
        <v>0</v>
      </c>
      <c r="M53" s="33">
        <f t="shared" si="9"/>
        <v>100</v>
      </c>
      <c r="N53" s="33">
        <f t="shared" si="12"/>
        <v>100</v>
      </c>
      <c r="O53" s="15"/>
      <c r="P53" s="2"/>
      <c r="Q53" s="2"/>
      <c r="R53" s="2"/>
      <c r="S53" s="32">
        <f>+I53</f>
        <v>87565000</v>
      </c>
      <c r="T53" s="32">
        <v>87565000</v>
      </c>
      <c r="U53" s="32">
        <f>+T53</f>
        <v>87565000</v>
      </c>
      <c r="V53" s="32">
        <f>+T53</f>
        <v>87565000</v>
      </c>
      <c r="W53" s="32">
        <f>+V53</f>
        <v>87565000</v>
      </c>
      <c r="X53" s="32">
        <f t="shared" si="10"/>
        <v>0</v>
      </c>
      <c r="Y53" s="2"/>
      <c r="Z53" s="28">
        <f t="shared" si="11"/>
        <v>100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249123000-27345600-27345600</f>
        <v>194431800</v>
      </c>
      <c r="H54" s="11">
        <v>0</v>
      </c>
      <c r="I54" s="11">
        <f t="shared" si="14"/>
        <v>194431800</v>
      </c>
      <c r="J54" s="31">
        <v>121440353</v>
      </c>
      <c r="K54" s="31">
        <v>121440353</v>
      </c>
      <c r="L54" s="11">
        <f t="shared" si="8"/>
        <v>72991447</v>
      </c>
      <c r="M54" s="33">
        <f t="shared" si="9"/>
        <v>62.45910031178028</v>
      </c>
      <c r="N54" s="33">
        <f t="shared" si="12"/>
        <v>62.45910031178028</v>
      </c>
      <c r="O54" s="15"/>
      <c r="P54" s="2"/>
      <c r="Q54" s="2"/>
      <c r="R54" s="2"/>
      <c r="S54" s="4">
        <f>+I54</f>
        <v>194431800</v>
      </c>
      <c r="T54" s="32">
        <v>193891800</v>
      </c>
      <c r="U54" s="32">
        <f t="shared" si="13"/>
        <v>193891800</v>
      </c>
      <c r="V54" s="32">
        <f>+T54</f>
        <v>193891800</v>
      </c>
      <c r="W54" s="32">
        <f>+V54</f>
        <v>193891800</v>
      </c>
      <c r="X54" s="32">
        <f t="shared" si="10"/>
        <v>540000</v>
      </c>
      <c r="Y54" s="2"/>
      <c r="Z54" s="28">
        <f t="shared" si="11"/>
        <v>99.72226765374799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4"/>
        <v>27345600</v>
      </c>
      <c r="J55" s="31">
        <v>22149500</v>
      </c>
      <c r="K55" s="31">
        <v>22149500</v>
      </c>
      <c r="L55" s="11">
        <f t="shared" si="8"/>
        <v>5196100</v>
      </c>
      <c r="M55" s="33">
        <f t="shared" si="9"/>
        <v>80.99840559358726</v>
      </c>
      <c r="N55" s="33">
        <f t="shared" si="12"/>
        <v>80.99840559358726</v>
      </c>
      <c r="O55" s="15"/>
      <c r="P55" s="2"/>
      <c r="Q55" s="2"/>
      <c r="R55" s="2"/>
      <c r="S55" s="32">
        <f>+I55</f>
        <v>27345600</v>
      </c>
      <c r="T55" s="32">
        <f>+I55</f>
        <v>27345600</v>
      </c>
      <c r="U55" s="32">
        <f t="shared" si="13"/>
        <v>27345600</v>
      </c>
      <c r="V55" s="32">
        <f>+T55</f>
        <v>27345600</v>
      </c>
      <c r="W55" s="32">
        <f>+V55</f>
        <v>27345600</v>
      </c>
      <c r="X55" s="32">
        <f t="shared" si="10"/>
        <v>0</v>
      </c>
      <c r="Y55" s="2"/>
      <c r="Z55" s="28">
        <f t="shared" si="11"/>
        <v>100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4"/>
        <v>27345600</v>
      </c>
      <c r="J56" s="31">
        <v>17684200</v>
      </c>
      <c r="K56" s="31">
        <v>17684200</v>
      </c>
      <c r="L56" s="11">
        <f t="shared" si="8"/>
        <v>9661400</v>
      </c>
      <c r="M56" s="33">
        <f t="shared" si="9"/>
        <v>64.6692703762214</v>
      </c>
      <c r="N56" s="33">
        <f t="shared" si="12"/>
        <v>64.6692703762214</v>
      </c>
      <c r="O56" s="15"/>
      <c r="P56" s="2"/>
      <c r="Q56" s="2"/>
      <c r="R56" s="2"/>
      <c r="S56" s="32">
        <f>+I56</f>
        <v>27345600</v>
      </c>
      <c r="T56" s="32">
        <f>+I56</f>
        <v>27345600</v>
      </c>
      <c r="U56" s="32">
        <f t="shared" si="13"/>
        <v>27345600</v>
      </c>
      <c r="V56" s="32">
        <f>+T56</f>
        <v>27345600</v>
      </c>
      <c r="W56" s="32">
        <f>+V56</f>
        <v>27345600</v>
      </c>
      <c r="X56" s="32">
        <f t="shared" si="10"/>
        <v>0</v>
      </c>
      <c r="Y56" s="2"/>
      <c r="Z56" s="28">
        <f t="shared" si="11"/>
        <v>100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24067000</v>
      </c>
      <c r="H57" s="31">
        <f>SUM(H58:H59)</f>
        <v>0</v>
      </c>
      <c r="I57" s="31">
        <f t="shared" si="14"/>
        <v>24067000</v>
      </c>
      <c r="J57" s="31">
        <f>+J58+J59</f>
        <v>24067000</v>
      </c>
      <c r="K57" s="31">
        <f>+K58+K59</f>
        <v>24067000</v>
      </c>
      <c r="L57" s="11">
        <f t="shared" si="8"/>
        <v>0</v>
      </c>
      <c r="M57" s="33">
        <f t="shared" si="9"/>
        <v>100</v>
      </c>
      <c r="N57" s="33">
        <f t="shared" si="12"/>
        <v>100</v>
      </c>
      <c r="O57" s="33"/>
      <c r="P57" s="2"/>
      <c r="Q57" s="2"/>
      <c r="R57" s="2"/>
      <c r="S57" s="30">
        <f>SUM(S58:S59)</f>
        <v>24067000</v>
      </c>
      <c r="T57" s="30">
        <f>SUM(T58:T59)</f>
        <v>24067000</v>
      </c>
      <c r="U57" s="30">
        <f>SUM(U58:U59)</f>
        <v>24067000</v>
      </c>
      <c r="V57" s="30">
        <f>SUM(V58:V59)</f>
        <v>24067000</v>
      </c>
      <c r="W57" s="30">
        <f>SUM(W58:W59)</f>
        <v>20090800</v>
      </c>
      <c r="X57" s="32">
        <f t="shared" si="10"/>
        <v>0</v>
      </c>
      <c r="Y57" s="2"/>
      <c r="Z57" s="28">
        <f t="shared" si="11"/>
        <v>100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8"/>
        <v>0</v>
      </c>
      <c r="M58" s="33">
        <f t="shared" si="9"/>
        <v>100</v>
      </c>
      <c r="N58" s="33">
        <f t="shared" si="12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f>+T58</f>
        <v>22601000</v>
      </c>
      <c r="W58" s="32">
        <v>18624800</v>
      </c>
      <c r="X58" s="32">
        <f t="shared" si="10"/>
        <v>0</v>
      </c>
      <c r="Y58" s="2"/>
      <c r="Z58" s="28">
        <f t="shared" si="11"/>
        <v>100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1466000</v>
      </c>
      <c r="H59" s="11">
        <v>0</v>
      </c>
      <c r="I59" s="11">
        <f>+G59+H59</f>
        <v>1466000</v>
      </c>
      <c r="J59" s="31">
        <f>+I59</f>
        <v>1466000</v>
      </c>
      <c r="K59" s="31">
        <f>+J59</f>
        <v>1466000</v>
      </c>
      <c r="L59" s="11">
        <f t="shared" si="8"/>
        <v>0</v>
      </c>
      <c r="M59" s="33">
        <f t="shared" si="9"/>
        <v>100</v>
      </c>
      <c r="N59" s="33">
        <f t="shared" si="12"/>
        <v>100</v>
      </c>
      <c r="O59" s="15"/>
      <c r="P59" s="2"/>
      <c r="Q59" s="2"/>
      <c r="R59" s="2"/>
      <c r="S59" s="32">
        <f>+I59</f>
        <v>1466000</v>
      </c>
      <c r="T59" s="32">
        <f>+I59</f>
        <v>1466000</v>
      </c>
      <c r="U59" s="32">
        <f>+T59</f>
        <v>1466000</v>
      </c>
      <c r="V59" s="32">
        <f>+T59</f>
        <v>1466000</v>
      </c>
      <c r="W59" s="32">
        <f>+V59</f>
        <v>1466000</v>
      </c>
      <c r="X59" s="32">
        <f t="shared" si="10"/>
        <v>0</v>
      </c>
      <c r="Y59" s="2"/>
      <c r="Z59" s="28">
        <v>0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1:5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10538000</v>
      </c>
      <c r="H60" s="11">
        <f>+H61</f>
        <v>0</v>
      </c>
      <c r="I60" s="11">
        <f>+G60+H60</f>
        <v>10538000</v>
      </c>
      <c r="J60" s="31">
        <f>+J61</f>
        <v>0</v>
      </c>
      <c r="K60" s="31">
        <f>+K61</f>
        <v>0</v>
      </c>
      <c r="L60" s="11">
        <f t="shared" si="8"/>
        <v>10538000</v>
      </c>
      <c r="M60" s="33">
        <f t="shared" si="9"/>
        <v>0</v>
      </c>
      <c r="N60" s="33">
        <f t="shared" si="12"/>
        <v>0</v>
      </c>
      <c r="O60" s="15"/>
      <c r="P60" s="2"/>
      <c r="Q60" s="2"/>
      <c r="R60" s="2"/>
      <c r="S60" s="32">
        <f>+S61</f>
        <v>0</v>
      </c>
      <c r="T60" s="32">
        <f>+T61</f>
        <v>0</v>
      </c>
      <c r="U60" s="32">
        <f>+U61</f>
        <v>0</v>
      </c>
      <c r="V60" s="32">
        <f>+V61</f>
        <v>0</v>
      </c>
      <c r="W60" s="32">
        <f>+W61</f>
        <v>0</v>
      </c>
      <c r="X60" s="32">
        <f t="shared" si="10"/>
        <v>10538000</v>
      </c>
      <c r="Y60" s="2"/>
      <c r="Z60" s="28">
        <v>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10538000</v>
      </c>
      <c r="H61" s="11">
        <v>0</v>
      </c>
      <c r="I61" s="11">
        <f>+G61+H61</f>
        <v>10538000</v>
      </c>
      <c r="J61" s="31">
        <v>0</v>
      </c>
      <c r="K61" s="31">
        <v>0</v>
      </c>
      <c r="L61" s="11">
        <f t="shared" si="8"/>
        <v>10538000</v>
      </c>
      <c r="M61" s="33">
        <f t="shared" si="9"/>
        <v>0</v>
      </c>
      <c r="N61" s="33">
        <f t="shared" si="12"/>
        <v>0</v>
      </c>
      <c r="O61" s="15"/>
      <c r="P61" s="2"/>
      <c r="Q61" s="2"/>
      <c r="R61" s="2"/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 t="shared" si="10"/>
        <v>10538000</v>
      </c>
      <c r="Y61" s="2"/>
      <c r="Z61" s="28">
        <v>0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7:53" ht="12.75">
      <c r="G63" s="34" t="s">
        <v>1</v>
      </c>
      <c r="H63" s="79" t="s">
        <v>1</v>
      </c>
      <c r="I63" s="78" t="s">
        <v>1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7:53" ht="12.75">
      <c r="G64" s="34" t="s">
        <v>1</v>
      </c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96" t="s">
        <v>1</v>
      </c>
      <c r="U64" s="85"/>
      <c r="V64" s="85"/>
      <c r="W64" s="85"/>
      <c r="X64" s="9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7:53" ht="15">
      <c r="G65" s="7" t="s">
        <v>1</v>
      </c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7:53" ht="12.75">
      <c r="G66" s="7">
        <f>+G46+G9+INVERSION!F21+INVERSION!F34</f>
        <v>28065000415</v>
      </c>
      <c r="H66" s="84"/>
      <c r="I66" s="83">
        <f>+I46+I9+INVERSION!H34+INVERSION!H21</f>
        <v>42044824242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"/>
      <c r="Z66" s="1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7:53" ht="12.75">
      <c r="G67" s="1">
        <f>+'[3]INGRESOS A '!$D$44</f>
        <v>28065000415</v>
      </c>
      <c r="H67" s="84"/>
      <c r="I67" s="84">
        <f>+'[3]INGRESOS A '!$F$44</f>
        <v>42044824242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"/>
      <c r="Z67" s="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7:53" ht="12.75">
      <c r="G68" s="7">
        <f>+G66-G67</f>
        <v>0</v>
      </c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1"/>
      <c r="Z68" s="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7:53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84"/>
      <c r="W69" s="84"/>
      <c r="X69" s="58"/>
      <c r="Y69" s="1"/>
      <c r="Z69" s="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7:53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84"/>
      <c r="W70" s="84"/>
      <c r="X70" s="58"/>
      <c r="Y70" s="1"/>
      <c r="Z70" s="1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7:53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84"/>
      <c r="W71" s="84"/>
      <c r="X71" s="58"/>
      <c r="Y71" s="1"/>
      <c r="Z71" s="1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7:53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84"/>
      <c r="W72" s="84"/>
      <c r="X72" s="58"/>
      <c r="Y72" s="1"/>
      <c r="Z72" s="1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7:53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83"/>
      <c r="W73" s="83"/>
      <c r="X73" s="58"/>
      <c r="Y73" s="1"/>
      <c r="Z73" s="1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7:53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"/>
      <c r="Z74" s="1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7:53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"/>
      <c r="Z75" s="1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7:53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1"/>
      <c r="Z76" s="1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7:53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58"/>
      <c r="X77" s="58"/>
      <c r="Y77" s="1"/>
      <c r="Z77" s="1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7:53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1"/>
      <c r="Z78" s="1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7:53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7:53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7:53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7:53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7:53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7:53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7:53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7:53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7:53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7:53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7:53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7:53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7:53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7:53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7:53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7:53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7:53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7:53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7:53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7:53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7:53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7:53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7:53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7:53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7:53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7:53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7:53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7:53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7:26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SheetLayoutView="100" zoomScalePageLayoutView="0" workbookViewId="0" topLeftCell="A15">
      <selection activeCell="AA44" sqref="AA4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5.28125" style="1" bestFit="1" customWidth="1"/>
    <col min="33" max="33" width="22.8515625" style="0" customWidth="1"/>
  </cols>
  <sheetData>
    <row r="1" spans="1:31" ht="12.75">
      <c r="A1" s="127"/>
      <c r="B1" s="128"/>
      <c r="C1" s="129" t="s">
        <v>1</v>
      </c>
      <c r="D1" s="130" t="s">
        <v>1</v>
      </c>
      <c r="E1" s="149" t="s">
        <v>0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31"/>
    </row>
    <row r="2" spans="1:31" ht="12.75">
      <c r="A2" s="132"/>
      <c r="B2" s="2"/>
      <c r="C2" s="47" t="s">
        <v>1</v>
      </c>
      <c r="D2" s="48" t="s">
        <v>1</v>
      </c>
      <c r="E2" s="148" t="s">
        <v>169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33"/>
    </row>
    <row r="3" spans="1:31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33"/>
    </row>
    <row r="4" spans="1:31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33"/>
    </row>
    <row r="5" spans="1:31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167</v>
      </c>
      <c r="AB5" s="46" t="s">
        <v>86</v>
      </c>
      <c r="AC5" s="46" t="s">
        <v>83</v>
      </c>
      <c r="AD5" s="46" t="s">
        <v>73</v>
      </c>
      <c r="AE5" s="135" t="s">
        <v>47</v>
      </c>
    </row>
    <row r="6" spans="1:31" ht="38.25" customHeight="1">
      <c r="A6" s="134"/>
      <c r="B6" s="36"/>
      <c r="C6" s="37"/>
      <c r="D6" s="37"/>
      <c r="E6" s="119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46"/>
      <c r="AD6" s="46"/>
      <c r="AE6" s="135"/>
    </row>
    <row r="7" spans="1:33" ht="22.5" customHeight="1">
      <c r="A7" s="60" t="s">
        <v>24</v>
      </c>
      <c r="B7" s="5"/>
      <c r="C7" s="17"/>
      <c r="D7" s="6"/>
      <c r="E7" s="112" t="s">
        <v>154</v>
      </c>
      <c r="F7" s="94">
        <f>1742000000+0</f>
        <v>1742000000</v>
      </c>
      <c r="G7" s="94">
        <f>693752201+909671930+200000000+69218708+277713467+2286533</f>
        <v>2152642839</v>
      </c>
      <c r="H7" s="24">
        <f>+F7+G7</f>
        <v>3894642839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1984895908</v>
      </c>
      <c r="AA7" s="120">
        <f>486207045*1.004</f>
        <v>488151873.18</v>
      </c>
      <c r="AB7" s="120">
        <f>476857045*1.004</f>
        <v>478764473.18</v>
      </c>
      <c r="AC7" s="80">
        <f aca="true" t="shared" si="0" ref="AC7:AC19">+H7-Z7</f>
        <v>1909746931</v>
      </c>
      <c r="AD7" s="81">
        <f aca="true" t="shared" si="1" ref="AD7:AD19">+X7/H7*100</f>
        <v>0</v>
      </c>
      <c r="AE7" s="136">
        <f aca="true" t="shared" si="2" ref="AE7:AE17">+Z7/H7*100</f>
        <v>50.96477366611742</v>
      </c>
      <c r="AF7" s="7" t="s">
        <v>1</v>
      </c>
      <c r="AG7" s="1"/>
    </row>
    <row r="8" spans="1:33" ht="22.5" customHeight="1">
      <c r="A8" s="60" t="s">
        <v>24</v>
      </c>
      <c r="B8" s="5"/>
      <c r="C8" s="17"/>
      <c r="D8" s="6"/>
      <c r="E8" s="112" t="s">
        <v>155</v>
      </c>
      <c r="F8" s="94">
        <f>4451034381+0</f>
        <v>4451034381</v>
      </c>
      <c r="G8" s="94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2994927512</v>
      </c>
      <c r="AA8" s="120">
        <f>2628854490*1.004</f>
        <v>2639369907.96</v>
      </c>
      <c r="AB8" s="120">
        <f>+AA8</f>
        <v>2639369907.96</v>
      </c>
      <c r="AC8" s="80">
        <f t="shared" si="0"/>
        <v>3942458348</v>
      </c>
      <c r="AD8" s="81">
        <f t="shared" si="1"/>
        <v>0</v>
      </c>
      <c r="AE8" s="136">
        <f t="shared" si="2"/>
        <v>43.17083657214938</v>
      </c>
      <c r="AF8" s="7" t="s">
        <v>1</v>
      </c>
      <c r="AG8" s="1"/>
    </row>
    <row r="9" spans="1:33" ht="22.5" customHeight="1">
      <c r="A9" s="60" t="s">
        <v>24</v>
      </c>
      <c r="B9" s="5"/>
      <c r="C9" s="17"/>
      <c r="D9" s="6"/>
      <c r="E9" s="112" t="s">
        <v>156</v>
      </c>
      <c r="F9" s="94">
        <v>1391137675</v>
      </c>
      <c r="G9" s="94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1260063229</v>
      </c>
      <c r="AA9" s="120">
        <f>1247906497*1.004</f>
        <v>1252898122.988</v>
      </c>
      <c r="AB9" s="120">
        <f>+AA9</f>
        <v>1252898122.988</v>
      </c>
      <c r="AC9" s="80">
        <f t="shared" si="0"/>
        <v>131948661</v>
      </c>
      <c r="AD9" s="81">
        <f t="shared" si="1"/>
        <v>0</v>
      </c>
      <c r="AE9" s="136">
        <f t="shared" si="2"/>
        <v>90.52101049223079</v>
      </c>
      <c r="AF9" s="7" t="s">
        <v>1</v>
      </c>
      <c r="AG9" s="1"/>
    </row>
    <row r="10" spans="1:33" ht="22.5" customHeight="1">
      <c r="A10" s="60" t="s">
        <v>24</v>
      </c>
      <c r="B10" s="5"/>
      <c r="C10" s="17"/>
      <c r="D10" s="6"/>
      <c r="E10" s="112" t="s">
        <v>157</v>
      </c>
      <c r="F10" s="94">
        <f>1425000000+0</f>
        <v>1425000000</v>
      </c>
      <c r="G10" s="94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1374725804</v>
      </c>
      <c r="AA10" s="120">
        <f>103872335*1.004</f>
        <v>104287824.34</v>
      </c>
      <c r="AB10" s="120">
        <f>+AA10</f>
        <v>104287824.34</v>
      </c>
      <c r="AC10" s="80">
        <f t="shared" si="0"/>
        <v>166413308</v>
      </c>
      <c r="AD10" s="81">
        <f t="shared" si="1"/>
        <v>0</v>
      </c>
      <c r="AE10" s="136">
        <f t="shared" si="2"/>
        <v>89.20192819037351</v>
      </c>
      <c r="AF10" s="7" t="s">
        <v>1</v>
      </c>
      <c r="AG10" s="1"/>
    </row>
    <row r="11" spans="1:33" ht="22.5" customHeight="1">
      <c r="A11" s="60" t="s">
        <v>24</v>
      </c>
      <c r="B11" s="5"/>
      <c r="C11" s="17"/>
      <c r="D11" s="6"/>
      <c r="E11" s="112" t="s">
        <v>158</v>
      </c>
      <c r="F11" s="94">
        <f>1203342537+0</f>
        <v>1203342537</v>
      </c>
      <c r="G11" s="94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537805648</v>
      </c>
      <c r="AA11" s="120">
        <f>42770696*1.004</f>
        <v>42941778.784</v>
      </c>
      <c r="AB11" s="120">
        <f>39270696*1.004</f>
        <v>39427778.784</v>
      </c>
      <c r="AC11" s="80">
        <f t="shared" si="0"/>
        <v>866491351</v>
      </c>
      <c r="AD11" s="81">
        <f t="shared" si="1"/>
        <v>0</v>
      </c>
      <c r="AE11" s="136">
        <f t="shared" si="2"/>
        <v>38.29714429233783</v>
      </c>
      <c r="AF11" s="7"/>
      <c r="AG11" s="1"/>
    </row>
    <row r="12" spans="1:33" ht="22.5" customHeight="1">
      <c r="A12" s="60" t="s">
        <v>24</v>
      </c>
      <c r="B12" s="5"/>
      <c r="C12" s="17"/>
      <c r="D12" s="6"/>
      <c r="E12" s="112" t="s">
        <v>159</v>
      </c>
      <c r="F12" s="94">
        <f>700000000+0</f>
        <v>700000000</v>
      </c>
      <c r="G12" s="94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311871523</v>
      </c>
      <c r="AA12" s="120">
        <f>56407139*1.004</f>
        <v>56632767.556</v>
      </c>
      <c r="AB12" s="120">
        <f>53207139*1.004</f>
        <v>53419967.556</v>
      </c>
      <c r="AC12" s="80">
        <f t="shared" si="0"/>
        <v>508561057</v>
      </c>
      <c r="AD12" s="81">
        <f t="shared" si="1"/>
        <v>0</v>
      </c>
      <c r="AE12" s="136">
        <f t="shared" si="2"/>
        <v>38.013059281482946</v>
      </c>
      <c r="AF12" s="7"/>
      <c r="AG12" s="1"/>
    </row>
    <row r="13" spans="1:33" ht="22.5" customHeight="1">
      <c r="A13" s="60" t="s">
        <v>24</v>
      </c>
      <c r="B13" s="5"/>
      <c r="C13" s="17"/>
      <c r="D13" s="6"/>
      <c r="E13" s="112" t="s">
        <v>166</v>
      </c>
      <c r="F13" s="94">
        <v>0</v>
      </c>
      <c r="G13" s="94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4620016737</v>
      </c>
      <c r="Z13" s="120">
        <v>1227311814</v>
      </c>
      <c r="AA13" s="120">
        <v>0</v>
      </c>
      <c r="AB13" s="120"/>
      <c r="AC13" s="80">
        <f>+H13-Z13</f>
        <v>2501240580</v>
      </c>
      <c r="AD13" s="81">
        <f>+X13/H13*100</f>
        <v>0</v>
      </c>
      <c r="AE13" s="136">
        <f>+Z13/H13*100</f>
        <v>32.91657684561425</v>
      </c>
      <c r="AF13" s="7"/>
      <c r="AG13" s="1"/>
    </row>
    <row r="14" spans="1:33" ht="22.5" customHeight="1">
      <c r="A14" s="60" t="s">
        <v>24</v>
      </c>
      <c r="B14" s="5"/>
      <c r="C14" s="17"/>
      <c r="D14" s="6"/>
      <c r="E14" s="112" t="s">
        <v>160</v>
      </c>
      <c r="F14" s="94">
        <f>500000000+0</f>
        <v>500000000</v>
      </c>
      <c r="G14" s="94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94020466</v>
      </c>
      <c r="AA14" s="120">
        <f>2103626*1.004</f>
        <v>2112040.504</v>
      </c>
      <c r="AB14" s="120">
        <f>+AA14</f>
        <v>2112040.504</v>
      </c>
      <c r="AC14" s="80">
        <f t="shared" si="0"/>
        <v>405979534</v>
      </c>
      <c r="AD14" s="81">
        <f t="shared" si="1"/>
        <v>0</v>
      </c>
      <c r="AE14" s="136">
        <f t="shared" si="2"/>
        <v>18.8040932</v>
      </c>
      <c r="AG14" s="1"/>
    </row>
    <row r="15" spans="1:33" ht="22.5" customHeight="1">
      <c r="A15" s="60" t="s">
        <v>24</v>
      </c>
      <c r="B15" s="5"/>
      <c r="C15" s="17"/>
      <c r="D15" s="6"/>
      <c r="E15" s="112" t="s">
        <v>161</v>
      </c>
      <c r="F15" s="94">
        <f>2379994504+0</f>
        <v>2379994504</v>
      </c>
      <c r="G15" s="94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f>2255276783-12580000</f>
        <v>2242696783</v>
      </c>
      <c r="AA15" s="146">
        <f>+(562338184-1947059)*1.004</f>
        <v>562632689.5</v>
      </c>
      <c r="AB15" s="120">
        <f>+(529408970-3000000)*1.004</f>
        <v>528514605.88</v>
      </c>
      <c r="AC15" s="80">
        <f t="shared" si="0"/>
        <v>581272121</v>
      </c>
      <c r="AD15" s="81">
        <f t="shared" si="1"/>
        <v>0</v>
      </c>
      <c r="AE15" s="136">
        <f t="shared" si="2"/>
        <v>79.41648294438868</v>
      </c>
      <c r="AG15" s="1"/>
    </row>
    <row r="16" spans="1:33" ht="22.5" customHeight="1">
      <c r="A16" s="60" t="s">
        <v>24</v>
      </c>
      <c r="B16" s="5"/>
      <c r="C16" s="17"/>
      <c r="D16" s="6"/>
      <c r="E16" s="112" t="s">
        <v>162</v>
      </c>
      <c r="F16" s="94">
        <f>596500000+0</f>
        <v>596500000</v>
      </c>
      <c r="G16" s="94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184961730</v>
      </c>
      <c r="AA16" s="120">
        <f>47520666*1.004</f>
        <v>47710748.664</v>
      </c>
      <c r="AB16" s="120">
        <f>+AA16</f>
        <v>47710748.664</v>
      </c>
      <c r="AC16" s="80">
        <f t="shared" si="0"/>
        <v>516483164</v>
      </c>
      <c r="AD16" s="81">
        <f t="shared" si="1"/>
        <v>0</v>
      </c>
      <c r="AE16" s="136">
        <f t="shared" si="2"/>
        <v>26.36867579793089</v>
      </c>
      <c r="AG16" s="1"/>
    </row>
    <row r="17" spans="1:33" ht="22.5" customHeight="1">
      <c r="A17" s="60" t="s">
        <v>24</v>
      </c>
      <c r="B17" s="5"/>
      <c r="C17" s="17"/>
      <c r="D17" s="6"/>
      <c r="E17" s="112" t="s">
        <v>163</v>
      </c>
      <c r="F17" s="94">
        <f>926000000+0</f>
        <v>926000000</v>
      </c>
      <c r="G17" s="94">
        <f>214218708+100000000-269218708</f>
        <v>45000000</v>
      </c>
      <c r="H17" s="24">
        <f t="shared" si="3"/>
        <v>971000000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678396625</v>
      </c>
      <c r="AA17" s="120">
        <f>390173876*1.004</f>
        <v>391734571.504</v>
      </c>
      <c r="AB17" s="120">
        <f>387852210*1.004</f>
        <v>389403618.84</v>
      </c>
      <c r="AC17" s="80">
        <f t="shared" si="0"/>
        <v>292603375</v>
      </c>
      <c r="AD17" s="81">
        <f t="shared" si="1"/>
        <v>0</v>
      </c>
      <c r="AE17" s="136">
        <f t="shared" si="2"/>
        <v>69.86576982492276</v>
      </c>
      <c r="AF17" s="7"/>
      <c r="AG17" s="1"/>
    </row>
    <row r="18" spans="1:33" ht="22.5" customHeight="1">
      <c r="A18" s="60" t="s">
        <v>24</v>
      </c>
      <c r="B18" s="5"/>
      <c r="C18" s="17"/>
      <c r="D18" s="6"/>
      <c r="E18" s="112" t="s">
        <v>164</v>
      </c>
      <c r="F18" s="94">
        <f>1679443034+0</f>
        <v>1679443034</v>
      </c>
      <c r="G18" s="94">
        <f>83250101+86255250-280000000</f>
        <v>-110494649</v>
      </c>
      <c r="H18" s="24">
        <f t="shared" si="3"/>
        <v>1568948385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/>
      <c r="Z18" s="120">
        <v>1064191837</v>
      </c>
      <c r="AA18" s="120">
        <f>479517814*1.004</f>
        <v>481435885.256</v>
      </c>
      <c r="AB18" s="120">
        <f>472270714*1.004</f>
        <v>474159796.856</v>
      </c>
      <c r="AC18" s="80">
        <f t="shared" si="0"/>
        <v>504756548</v>
      </c>
      <c r="AD18" s="81">
        <f t="shared" si="1"/>
        <v>0</v>
      </c>
      <c r="AE18" s="137" t="s">
        <v>1</v>
      </c>
      <c r="AG18" s="1"/>
    </row>
    <row r="19" spans="1:33" ht="22.5" customHeight="1">
      <c r="A19" s="60" t="s">
        <v>24</v>
      </c>
      <c r="B19" s="5"/>
      <c r="C19" s="17"/>
      <c r="D19" s="6"/>
      <c r="E19" s="112" t="s">
        <v>165</v>
      </c>
      <c r="F19" s="94">
        <f>1420000000+0</f>
        <v>1420000000</v>
      </c>
      <c r="G19" s="94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20">
        <v>679930018</v>
      </c>
      <c r="AA19" s="120">
        <f>90241960*1.004</f>
        <v>90602927.84</v>
      </c>
      <c r="AB19" s="120">
        <f>84741960*1.004</f>
        <v>85080927.84</v>
      </c>
      <c r="AC19" s="80">
        <f t="shared" si="0"/>
        <v>1242386831</v>
      </c>
      <c r="AD19" s="81">
        <f t="shared" si="1"/>
        <v>0</v>
      </c>
      <c r="AE19" s="136">
        <f>+Z19/H19*100</f>
        <v>35.37034065709321</v>
      </c>
      <c r="AG19" s="1"/>
    </row>
    <row r="20" spans="1:33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11"/>
      <c r="AB20" s="11"/>
      <c r="AC20" s="80">
        <v>0</v>
      </c>
      <c r="AD20" s="16" t="s">
        <v>1</v>
      </c>
      <c r="AE20" s="137" t="s">
        <v>1</v>
      </c>
      <c r="AG20" s="1"/>
    </row>
    <row r="21" spans="1:33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14635798897</v>
      </c>
      <c r="AA21" s="68">
        <f>SUM(AA7:AA19)</f>
        <v>6160511138.075999</v>
      </c>
      <c r="AB21" s="68">
        <f>SUM(AB7:AB19)</f>
        <v>6095149813.392</v>
      </c>
      <c r="AC21" s="138">
        <f>+H21-Z21</f>
        <v>13570341809</v>
      </c>
      <c r="AD21" s="139" t="e">
        <f>+X21/H21*100</f>
        <v>#REF!</v>
      </c>
      <c r="AE21" s="140">
        <f>+Z21/H21*100</f>
        <v>51.888697037828635</v>
      </c>
      <c r="AG21" s="1"/>
    </row>
    <row r="22" spans="6:33" ht="12.75">
      <c r="F22" s="34" t="s">
        <v>1</v>
      </c>
      <c r="G22" s="34"/>
      <c r="H22" s="7"/>
      <c r="Z22" s="34"/>
      <c r="AA22" s="34" t="s">
        <v>1</v>
      </c>
      <c r="AB22" s="34" t="s">
        <v>1</v>
      </c>
      <c r="AC22" s="34" t="s">
        <v>1</v>
      </c>
      <c r="AD22" s="52"/>
      <c r="AE22" s="52" t="s">
        <v>1</v>
      </c>
      <c r="AG22" s="1"/>
    </row>
    <row r="23" spans="6:33" ht="12.75">
      <c r="F23" s="34" t="s">
        <v>1</v>
      </c>
      <c r="G23" s="7"/>
      <c r="H23" s="7"/>
      <c r="X23" s="25"/>
      <c r="Y23" s="25"/>
      <c r="Z23" s="34"/>
      <c r="AA23" s="34"/>
      <c r="AB23" s="34" t="s">
        <v>1</v>
      </c>
      <c r="AC23" s="25" t="s">
        <v>1</v>
      </c>
      <c r="AD23" s="25" t="e">
        <f>+H23-#REF!</f>
        <v>#REF!</v>
      </c>
      <c r="AG23" s="1"/>
    </row>
    <row r="24" spans="7:33" ht="12.75">
      <c r="G24" s="7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  <c r="AA24" s="7"/>
      <c r="AB24" s="7"/>
      <c r="AC24" s="1"/>
      <c r="AD24" s="1"/>
      <c r="AE24" s="1"/>
      <c r="AG24" s="1"/>
    </row>
    <row r="25" spans="7:33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ht="12.75">
      <c r="A26" s="2"/>
      <c r="B26" s="2"/>
      <c r="C26" s="2"/>
      <c r="D26" s="2"/>
      <c r="E26" s="150" t="s">
        <v>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53"/>
      <c r="AG26" s="1"/>
    </row>
    <row r="27" spans="1:33" ht="12.75">
      <c r="A27" s="2"/>
      <c r="B27" s="2"/>
      <c r="C27" s="2"/>
      <c r="D27" s="2"/>
      <c r="E27" s="150" t="s">
        <v>170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2"/>
      <c r="AE27" s="53"/>
      <c r="AG27" s="1"/>
    </row>
    <row r="28" spans="1:33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3"/>
      <c r="AG28" s="1"/>
    </row>
    <row r="29" spans="1:33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167</v>
      </c>
      <c r="AB29" s="46" t="s">
        <v>86</v>
      </c>
      <c r="AC29" s="46" t="s">
        <v>102</v>
      </c>
      <c r="AD29" s="46" t="s">
        <v>73</v>
      </c>
      <c r="AE29" s="46" t="s">
        <v>47</v>
      </c>
      <c r="AG29" s="1"/>
    </row>
    <row r="30" spans="1:33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71"/>
      <c r="AC30" s="71"/>
      <c r="AD30" s="45"/>
      <c r="AE30" s="53"/>
      <c r="AG30" s="1"/>
    </row>
    <row r="31" spans="1:33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5">
        <f>2431158628-88296411</f>
        <v>2342862217</v>
      </c>
      <c r="Z31" s="141">
        <v>0</v>
      </c>
      <c r="AA31" s="141"/>
      <c r="AB31" s="141"/>
      <c r="AC31" s="73">
        <f>+H31-Z31</f>
        <v>1074086189</v>
      </c>
      <c r="AD31" s="28">
        <v>0</v>
      </c>
      <c r="AE31" s="53">
        <f>+Z31/H31*100</f>
        <v>0</v>
      </c>
      <c r="AG31" s="1"/>
    </row>
    <row r="32" spans="1:33" ht="102">
      <c r="A32" s="2" t="s">
        <v>24</v>
      </c>
      <c r="B32" s="2">
        <v>213</v>
      </c>
      <c r="C32" s="2">
        <v>906</v>
      </c>
      <c r="D32" s="2">
        <v>2</v>
      </c>
      <c r="E32" s="147" t="s">
        <v>168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0</v>
      </c>
      <c r="AA32" s="74">
        <v>0</v>
      </c>
      <c r="AB32" s="74">
        <v>0</v>
      </c>
      <c r="AC32" s="73">
        <f>+H32-Z32</f>
        <v>3500000000</v>
      </c>
      <c r="AD32" s="28"/>
      <c r="AE32" s="53"/>
      <c r="AG32" s="1"/>
    </row>
    <row r="33" spans="1:33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4"/>
      <c r="AB33" s="74"/>
      <c r="AC33" s="73"/>
      <c r="AD33" s="28"/>
      <c r="AE33" s="53"/>
      <c r="AG33" s="1"/>
    </row>
    <row r="34" spans="1:33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 aca="true" t="shared" si="5" ref="X34:AD34">+X31</f>
        <v>-678923032</v>
      </c>
      <c r="Y34" s="142">
        <f t="shared" si="5"/>
        <v>2342862217</v>
      </c>
      <c r="Z34" s="142">
        <f t="shared" si="5"/>
        <v>0</v>
      </c>
      <c r="AA34" s="142">
        <f t="shared" si="5"/>
        <v>0</v>
      </c>
      <c r="AB34" s="142">
        <f t="shared" si="5"/>
        <v>0</v>
      </c>
      <c r="AC34" s="73">
        <f>+H34-Z34</f>
        <v>4574086189</v>
      </c>
      <c r="AD34" s="75">
        <f t="shared" si="5"/>
        <v>0</v>
      </c>
      <c r="AE34" s="143">
        <f>+Z34/H34*100</f>
        <v>0</v>
      </c>
      <c r="AG34" s="1"/>
    </row>
    <row r="35" spans="1:33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74"/>
      <c r="AC35" s="74"/>
      <c r="AD35" s="32"/>
      <c r="AE35" s="53"/>
      <c r="AG35" s="1"/>
    </row>
    <row r="36" spans="1:33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100" t="s">
        <v>1</v>
      </c>
      <c r="AA36" s="100"/>
      <c r="AB36" s="100"/>
      <c r="AC36" s="74"/>
      <c r="AD36" s="32"/>
      <c r="AE36" s="53"/>
      <c r="AG36" s="1"/>
    </row>
    <row r="37" spans="1:33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100"/>
      <c r="AB37" s="100"/>
      <c r="AC37" s="74"/>
      <c r="AD37" s="32"/>
      <c r="AE37" s="53"/>
      <c r="AG37" s="1"/>
    </row>
    <row r="38" spans="1:33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101" t="s">
        <v>1</v>
      </c>
      <c r="AA38" s="101"/>
      <c r="AB38" s="101"/>
      <c r="AC38" s="73"/>
      <c r="AD38" s="28"/>
      <c r="AE38" s="53"/>
      <c r="AG38" s="1"/>
    </row>
    <row r="39" spans="1:33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73"/>
      <c r="AC39" s="73"/>
      <c r="AD39" s="28"/>
      <c r="AE39" s="53"/>
      <c r="AG39" s="1"/>
    </row>
    <row r="40" spans="7:33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7:33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/>
      <c r="AA41" s="7"/>
      <c r="AB41" s="7"/>
      <c r="AC41" s="1"/>
      <c r="AD41" s="1"/>
      <c r="AE41" s="1"/>
      <c r="AG41" s="1"/>
    </row>
    <row r="42" spans="7:33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/>
      <c r="AA42" s="7"/>
      <c r="AB42" s="7"/>
      <c r="AC42" s="1"/>
      <c r="AD42" s="1"/>
      <c r="AE42" s="1"/>
      <c r="AG42" s="1"/>
    </row>
    <row r="43" spans="6:33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7"/>
      <c r="AC43" s="1"/>
      <c r="AD43" s="1"/>
      <c r="AE43" s="1"/>
      <c r="AG43" s="1"/>
    </row>
    <row r="44" spans="6:33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7"/>
      <c r="AC44" s="1"/>
      <c r="AD44" s="1"/>
      <c r="AE44" s="1"/>
      <c r="AG44" s="1"/>
    </row>
    <row r="45" spans="7:33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7:33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7:33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7:33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7:33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26:33" ht="12.75">
      <c r="Z50" s="1"/>
      <c r="AA50" s="1"/>
      <c r="AB50" s="1"/>
      <c r="AG50" s="1"/>
    </row>
    <row r="51" spans="7:33" ht="12.75">
      <c r="G51" s="1"/>
      <c r="AG51" s="1"/>
    </row>
    <row r="52" spans="7:33" ht="12.75">
      <c r="G52" s="25"/>
      <c r="AG52" s="1"/>
    </row>
    <row r="53" spans="26:33" ht="12.75">
      <c r="Z53" s="1"/>
      <c r="AA53" s="1"/>
      <c r="AB53" s="1"/>
      <c r="AG53" s="1"/>
    </row>
    <row r="54" spans="7:33" ht="12.75">
      <c r="G54" s="25"/>
      <c r="Z54" s="1"/>
      <c r="AA54" s="1"/>
      <c r="AB54" s="1"/>
      <c r="AG54" s="1"/>
    </row>
    <row r="55" ht="12.75">
      <c r="AG55" s="1"/>
    </row>
    <row r="56" spans="7:33" ht="12.75">
      <c r="G56" s="25"/>
      <c r="AG56" s="1"/>
    </row>
    <row r="57" spans="7:33" ht="12.75">
      <c r="G57" s="25"/>
      <c r="AG57" s="1"/>
    </row>
    <row r="58" spans="7:33" ht="12.75">
      <c r="G58" s="25"/>
      <c r="AG58" s="1"/>
    </row>
    <row r="59" spans="7:33" ht="12.75">
      <c r="G59" s="25"/>
      <c r="AG59" s="1"/>
    </row>
    <row r="60" ht="12.75">
      <c r="AG60" s="1"/>
    </row>
    <row r="61" ht="12.75">
      <c r="AG61" s="1"/>
    </row>
    <row r="62" ht="12.75">
      <c r="AG62" s="1"/>
    </row>
    <row r="63" ht="12.75">
      <c r="AG63" s="1"/>
    </row>
    <row r="64" ht="12.75">
      <c r="AG64" s="1"/>
    </row>
    <row r="65" ht="12.75">
      <c r="AG65" s="1"/>
    </row>
    <row r="66" ht="12.75">
      <c r="AG66" s="1"/>
    </row>
    <row r="67" ht="12.75">
      <c r="AG67" s="1"/>
    </row>
    <row r="68" ht="12.75">
      <c r="AG68" s="1"/>
    </row>
    <row r="69" ht="12.75">
      <c r="AG69" s="1"/>
    </row>
    <row r="70" ht="12.75">
      <c r="AG70" s="1"/>
    </row>
    <row r="71" ht="12.75">
      <c r="AG71" s="1"/>
    </row>
    <row r="72" ht="12.75">
      <c r="AG72" s="1"/>
    </row>
    <row r="73" ht="12.75">
      <c r="AG73" s="1"/>
    </row>
    <row r="74" ht="12.75">
      <c r="AG74" s="1"/>
    </row>
    <row r="75" ht="12.75">
      <c r="AG75" s="1"/>
    </row>
    <row r="76" ht="12.75">
      <c r="AG76" s="1"/>
    </row>
    <row r="77" ht="12.75">
      <c r="AG77" s="1"/>
    </row>
    <row r="78" ht="12.75">
      <c r="AG78" s="1"/>
    </row>
    <row r="79" ht="12.75">
      <c r="AG79" s="1"/>
    </row>
    <row r="80" ht="12.75">
      <c r="AG80" s="1"/>
    </row>
    <row r="81" ht="12.75">
      <c r="AG81" s="1"/>
    </row>
  </sheetData>
  <sheetProtection/>
  <mergeCells count="4">
    <mergeCell ref="E1:AD1"/>
    <mergeCell ref="E2:AD2"/>
    <mergeCell ref="E26:AD26"/>
    <mergeCell ref="E27:AD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2018-01-25T15:37:15Z</cp:lastPrinted>
  <dcterms:created xsi:type="dcterms:W3CDTF">2007-01-13T18:42:48Z</dcterms:created>
  <dcterms:modified xsi:type="dcterms:W3CDTF">2018-10-22T18:31:49Z</dcterms:modified>
  <cp:category/>
  <cp:version/>
  <cp:contentType/>
  <cp:contentStatus/>
</cp:coreProperties>
</file>