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FUNCIONAMIENTO " sheetId="1" r:id="rId1"/>
    <sheet name="Hoja1" sheetId="2" state="hidden" r:id="rId2"/>
    <sheet name="Hoja2" sheetId="3" state="hidden" r:id="rId3"/>
    <sheet name="Hoja3" sheetId="4" state="hidden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<sst xmlns="http://schemas.openxmlformats.org/spreadsheetml/2006/main" count="358" uniqueCount="190">
  <si>
    <t xml:space="preserve"> </t>
  </si>
  <si>
    <t>MODIFICACIONES</t>
  </si>
  <si>
    <t>PRESUPUESTO</t>
  </si>
  <si>
    <t>INICIAL</t>
  </si>
  <si>
    <t>DEFINITIVO</t>
  </si>
  <si>
    <t>CONCEPTO</t>
  </si>
  <si>
    <t>PRESUPUESTALES</t>
  </si>
  <si>
    <t>Gastos de personal</t>
  </si>
  <si>
    <t>C</t>
  </si>
  <si>
    <t xml:space="preserve">  </t>
  </si>
  <si>
    <t>COMPROMISOS</t>
  </si>
  <si>
    <t>SALDO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</si>
  <si>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</si>
  <si>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</si>
  <si>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</si>
  <si>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</si>
  <si>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</si>
  <si>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</si>
  <si>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</si>
  <si>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</si>
  <si>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</si>
  <si>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</si>
  <si>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</si>
  <si>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</si>
  <si>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</si>
  <si>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</si>
  <si>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</si>
  <si>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</si>
  <si>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</si>
  <si>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</si>
  <si>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</si>
  <si>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</si>
  <si>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</si>
  <si>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</si>
  <si>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</si>
  <si>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</si>
  <si>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</si>
  <si>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DEFINITIVO</t>
  </si>
  <si>
    <t>% DE EJEUCION</t>
  </si>
  <si>
    <t>CDPS</t>
  </si>
  <si>
    <t xml:space="preserve">% EJEUCION </t>
  </si>
  <si>
    <t>SALDO  POR</t>
  </si>
  <si>
    <t>EJECUTAR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</si>
  <si>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</si>
  <si>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</si>
  <si>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</si>
  <si>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</si>
  <si>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</si>
  <si>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</si>
  <si>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</si>
  <si>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</si>
  <si>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</si>
  <si>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</si>
  <si>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</si>
  <si>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</si>
  <si>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</si>
  <si>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</si>
  <si>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</si>
  <si>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</si>
  <si>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</si>
  <si>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</si>
  <si>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</si>
  <si>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</si>
  <si>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</si>
  <si>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</si>
  <si>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</si>
  <si>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</si>
  <si>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</si>
  <si>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</si>
  <si>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</si>
  <si>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</si>
  <si>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</si>
  <si>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</si>
  <si>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</si>
  <si>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</si>
  <si>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</si>
  <si>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</si>
  <si>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</si>
  <si>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</si>
  <si>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</si>
  <si>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</si>
  <si>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</si>
  <si>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</si>
  <si>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</si>
  <si>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</si>
  <si>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</si>
  <si>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</si>
  <si>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</si>
  <si>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</si>
  <si>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</si>
  <si>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</si>
  <si>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</si>
  <si>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</si>
  <si>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</si>
  <si>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</si>
  <si>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</si>
  <si>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</si>
  <si>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</si>
  <si>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</si>
  <si>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</si>
  <si>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</si>
  <si>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</si>
  <si>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</si>
  <si>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</si>
  <si>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</si>
  <si>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</si>
  <si>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</si>
  <si>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</si>
  <si>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</si>
  <si>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</si>
  <si>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SALDO POR</t>
  </si>
  <si>
    <t>OBLIGACIONES</t>
  </si>
  <si>
    <t>sueldo basico</t>
  </si>
  <si>
    <t>CORPORACION AUTONOMA REGIONAL DEL ALTO MAGDALENA CAM</t>
  </si>
  <si>
    <t>Planta de personal permanente</t>
  </si>
  <si>
    <t>Factores constitutivos de salario</t>
  </si>
  <si>
    <t>Factores salariales comunes</t>
  </si>
  <si>
    <t>Subsidio de Alimentaciòn</t>
  </si>
  <si>
    <t>Auxilio de Transporte</t>
  </si>
  <si>
    <t>Prima de Servicios</t>
  </si>
  <si>
    <t>Bonificacion por servicios prestados</t>
  </si>
  <si>
    <t>Prestaciones Sociales</t>
  </si>
  <si>
    <t>Prima de Navidad</t>
  </si>
  <si>
    <t>Prima de Vacaciones</t>
  </si>
  <si>
    <t>Contribuciones Inherentes a la nòmina</t>
  </si>
  <si>
    <t>Aportes a la seguridad social en pensiones</t>
  </si>
  <si>
    <t>Aportes a la seguridad social en salud</t>
  </si>
  <si>
    <t>Aportes a las Cesantias</t>
  </si>
  <si>
    <t>Aportes a Cajas de Compensaciòn Familiar</t>
  </si>
  <si>
    <t>Aportes generales al sistema de riesgos laborales</t>
  </si>
  <si>
    <t>Aportes al ICBF</t>
  </si>
  <si>
    <t>Aportes al Sena</t>
  </si>
  <si>
    <t>Remuneracion no constitutivos de factos salarial</t>
  </si>
  <si>
    <t>Vacaciones</t>
  </si>
  <si>
    <t>Indemnizacion por vacaciones</t>
  </si>
  <si>
    <t>Prima tècnica no salarial</t>
  </si>
  <si>
    <t>Adquisicion de Servicios</t>
  </si>
  <si>
    <t>Servicios de alojamiento-servicios de suministro</t>
  </si>
  <si>
    <t>Gastos por tributos, multas,sanciones e impuestos</t>
  </si>
  <si>
    <t>Impuestos</t>
  </si>
  <si>
    <t>Impuesto Predial Unificado</t>
  </si>
  <si>
    <t>Contribuciones</t>
  </si>
  <si>
    <t>Cuota de fiscalizaciòn y auditaje</t>
  </si>
  <si>
    <t>Prima de Coordinaciòn</t>
  </si>
  <si>
    <t>Apoyo aprendices SENA</t>
  </si>
  <si>
    <t>Personal supernumerario y planta temporal</t>
  </si>
  <si>
    <t>Aportes al SENA</t>
  </si>
  <si>
    <t>Remuneracion no constitutivos de factor salarial</t>
  </si>
  <si>
    <t>Bonificaciòn por recreacion</t>
  </si>
  <si>
    <t>Adquisicion de activos no financieros</t>
  </si>
  <si>
    <t>Activos fijos</t>
  </si>
  <si>
    <t>Maquinaria y Equipo</t>
  </si>
  <si>
    <t>Maquinaria de informatica y sus partes, piezas y accesorios</t>
  </si>
  <si>
    <t>Maquinaria de oficina, contabilidad e informatica</t>
  </si>
  <si>
    <t>Adquisiciones diferentes de Activos</t>
  </si>
  <si>
    <t>Materiales y suministros</t>
  </si>
  <si>
    <t xml:space="preserve">"Otros bienes transportables </t>
  </si>
  <si>
    <t>Productos metàlicos y paquetes de software</t>
  </si>
  <si>
    <t>Adquisiciòn de servicios</t>
  </si>
  <si>
    <t>Servicios financieros y servicios conexos, servicios inmobiliarios y servicios de leasing</t>
  </si>
  <si>
    <t>Servicios prestados a las empresas y servicios de producciòn</t>
  </si>
  <si>
    <t>Servicios para la comunidad, sociales y personales</t>
  </si>
  <si>
    <t>Vìaticos de los funcionarios en comisiòn</t>
  </si>
  <si>
    <t>Transferenica Corrientes</t>
  </si>
  <si>
    <t>A Organizaciones Nacionales</t>
  </si>
  <si>
    <t>Asociacion de Corporaciones Autònomas Regionales</t>
  </si>
  <si>
    <t>Membresias</t>
  </si>
  <si>
    <t>A entidades del gobierno</t>
  </si>
  <si>
    <t>A organos del PGN</t>
  </si>
  <si>
    <t>Fondo de Compensaciòn Ambiental</t>
  </si>
  <si>
    <t>Sentencias y Conciliaciones</t>
  </si>
  <si>
    <t>Fallos nacionales</t>
  </si>
  <si>
    <t>Adquisicion de Bienes y Servicios</t>
  </si>
  <si>
    <t>Prestaciones sociales</t>
  </si>
  <si>
    <t>Bonificacion especial de recreaciòn</t>
  </si>
  <si>
    <t>Multas, sanciones e intereses de mora</t>
  </si>
  <si>
    <t>Intereses de mora</t>
  </si>
  <si>
    <t>TOTAL PRESUPUESTO</t>
  </si>
  <si>
    <t>Maquinaria y aparatos eléctricos</t>
  </si>
  <si>
    <t>Otros equipos eléctricos, sus partes y piezas</t>
  </si>
  <si>
    <t>Activos fijos no clasificados como maquinaria</t>
  </si>
  <si>
    <t>Muebles del tipo utilizado en la oficina</t>
  </si>
  <si>
    <t>Impuesto sobre delineación Urbana</t>
  </si>
  <si>
    <t>EJECUCION PRESUPUESTAL DE GASTOS DE FUNCIONAMIENTO RECURSOS DE LA NACION A DICIEMBRE 31 DE 2021</t>
  </si>
  <si>
    <t>EJECUCION PRESUPUESTAL DE GASTOS DE FUNCIONAMIENTO RECURSOS PROPIOS A DICIEMBRE 31DE 2021</t>
  </si>
  <si>
    <t>TOTAL FUNCIONAMIENTO  PROPIOS</t>
  </si>
  <si>
    <t>TOTAL FUNCIIONAMIENTO NACION</t>
  </si>
  <si>
    <t>TOTAL INVERSION PROPIOS</t>
  </si>
  <si>
    <t>TOTAL INVERSION NACION</t>
  </si>
  <si>
    <t>TOTAL SISTEMA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</si>
</sst>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;[Red]0.00"/>
    <numFmt numFmtId="195" formatCode="#,##0.00;[Red]#,##0.00"/>
    <numFmt numFmtId="196" formatCode="#,##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"/>
    <numFmt numFmtId="202" formatCode="_(* #,##0_);_(* \(#,##0\);_(* &quot;-&quot;??_);_(@_)"/>
    <numFmt numFmtId="203" formatCode="[$$-240A]\ #,##0.00;\-[$$-240A]\ #,##0.00;[$$-240A]\ #,##0.00;@"/>
    <numFmt numFmtId="204" formatCode="[$$-240A]\ #,##0.00;\-[$$-240A]\ #,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wrapText="1"/>
      <protection locked="0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202" fontId="0" fillId="0" borderId="10" xfId="49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justify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 wrapText="1"/>
    </xf>
    <xf numFmtId="3" fontId="0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1" fillId="34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wrapText="1"/>
    </xf>
    <xf numFmtId="3" fontId="0" fillId="0" borderId="17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203" fontId="0" fillId="0" borderId="0" xfId="0" applyNumberFormat="1" applyFont="1" applyBorder="1" applyAlignment="1" applyProtection="1">
      <alignment vertical="center"/>
      <protection/>
    </xf>
    <xf numFmtId="3" fontId="1" fillId="0" borderId="23" xfId="0" applyNumberFormat="1" applyFont="1" applyBorder="1" applyAlignment="1">
      <alignment/>
    </xf>
    <xf numFmtId="203" fontId="0" fillId="0" borderId="0" xfId="0" applyNumberFormat="1" applyFont="1" applyBorder="1" applyAlignment="1" applyProtection="1">
      <alignment vertical="center"/>
      <protection/>
    </xf>
    <xf numFmtId="3" fontId="1" fillId="0" borderId="15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ramos\Downloads\EJECUCION%20PRESUPUESTALGASTOSDEINVERSIONMARZO%20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EJECUCION%20PRESUPUESTALGASTOSDEINVERSION%20DICIEMBRE%203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ramos\Downloads\Formatos%20SINA%20-%20INGRESOS%20-%20GASTOS%20(1)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INVERSION"/>
      <sheetName val="Hoja3"/>
    </sheetNames>
    <sheetDataSet>
      <sheetData sheetId="2">
        <row r="20">
          <cell r="D20">
            <v>26194673260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INVERSION"/>
      <sheetName val="Hoja4"/>
      <sheetName val="Hoja3"/>
    </sheetNames>
    <sheetDataSet>
      <sheetData sheetId="2">
        <row r="74">
          <cell r="B74">
            <v>24873867189</v>
          </cell>
          <cell r="D74">
            <v>34971739606</v>
          </cell>
          <cell r="E74">
            <v>33127045764</v>
          </cell>
          <cell r="F74">
            <v>18613404204</v>
          </cell>
          <cell r="G74">
            <v>17054172344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TOCOLO INGRESOS"/>
      <sheetName val="PROTOCOLO GASTOS"/>
      <sheetName val="Informe Ingresos"/>
      <sheetName val="informe Gastos"/>
    </sheetNames>
    <sheetDataSet>
      <sheetData sheetId="3">
        <row r="7">
          <cell r="K7">
            <v>33440590000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1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37.7109375" style="0" customWidth="1"/>
    <col min="2" max="2" width="16.28125" style="0" customWidth="1"/>
    <col min="3" max="3" width="20.57421875" style="26" customWidth="1"/>
    <col min="4" max="4" width="19.421875" style="65" customWidth="1"/>
    <col min="5" max="5" width="15.57421875" style="0" hidden="1" customWidth="1"/>
    <col min="6" max="6" width="18.140625" style="0" hidden="1" customWidth="1"/>
    <col min="7" max="7" width="25.7109375" style="0" hidden="1" customWidth="1"/>
    <col min="8" max="9" width="15.421875" style="0" hidden="1" customWidth="1"/>
    <col min="10" max="12" width="2.00390625" style="0" hidden="1" customWidth="1"/>
    <col min="13" max="13" width="0.13671875" style="0" customWidth="1"/>
    <col min="14" max="14" width="16.00390625" style="0" customWidth="1"/>
    <col min="15" max="15" width="16.00390625" style="26" customWidth="1"/>
    <col min="16" max="16" width="16.00390625" style="0" hidden="1" customWidth="1"/>
    <col min="17" max="17" width="16.00390625" style="0" customWidth="1"/>
    <col min="18" max="18" width="16.00390625" style="26" customWidth="1"/>
    <col min="19" max="19" width="12.7109375" style="0" bestFit="1" customWidth="1"/>
    <col min="20" max="20" width="15.140625" style="0" bestFit="1" customWidth="1"/>
    <col min="21" max="21" width="17.00390625" style="0" bestFit="1" customWidth="1"/>
    <col min="22" max="22" width="0.2890625" style="0" customWidth="1"/>
    <col min="23" max="23" width="17.57421875" style="0" bestFit="1" customWidth="1"/>
    <col min="24" max="24" width="16.421875" style="0" customWidth="1"/>
    <col min="25" max="25" width="15.28125" style="0" bestFit="1" customWidth="1"/>
    <col min="26" max="26" width="12.7109375" style="0" bestFit="1" customWidth="1"/>
  </cols>
  <sheetData>
    <row r="1" spans="1:40" ht="12.75">
      <c r="A1" s="106" t="s">
        <v>113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8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</row>
    <row r="2" spans="1:40" ht="12.75">
      <c r="A2" s="109" t="s">
        <v>183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1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:40" ht="12.75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1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ht="12.75">
      <c r="A4" s="78"/>
      <c r="B4" s="2"/>
      <c r="C4" s="7"/>
      <c r="D4" s="58"/>
      <c r="E4" s="2"/>
      <c r="F4" s="2"/>
      <c r="G4" s="2"/>
      <c r="H4" s="17"/>
      <c r="I4" s="17"/>
      <c r="J4" s="2"/>
      <c r="K4" s="2"/>
      <c r="L4" s="2"/>
      <c r="M4" s="2"/>
      <c r="N4" s="2"/>
      <c r="O4" s="7"/>
      <c r="P4" s="2"/>
      <c r="Q4" s="2"/>
      <c r="R4" s="7"/>
      <c r="S4" s="2"/>
      <c r="T4" s="79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40" ht="12.75">
      <c r="A5" s="80"/>
      <c r="B5" s="12" t="s">
        <v>2</v>
      </c>
      <c r="C5" s="5" t="s">
        <v>1</v>
      </c>
      <c r="D5" s="59" t="s">
        <v>2</v>
      </c>
      <c r="E5" s="32" t="s">
        <v>39</v>
      </c>
      <c r="F5" s="32" t="s">
        <v>10</v>
      </c>
      <c r="G5" s="9" t="s">
        <v>11</v>
      </c>
      <c r="H5" s="16" t="s">
        <v>19</v>
      </c>
      <c r="I5" s="28" t="s">
        <v>40</v>
      </c>
      <c r="J5" s="2"/>
      <c r="K5" s="2"/>
      <c r="L5" s="2"/>
      <c r="M5" s="2"/>
      <c r="N5" s="12" t="s">
        <v>39</v>
      </c>
      <c r="O5" s="5" t="s">
        <v>10</v>
      </c>
      <c r="P5" s="12" t="s">
        <v>43</v>
      </c>
      <c r="Q5" s="12" t="s">
        <v>111</v>
      </c>
      <c r="R5" s="5" t="s">
        <v>43</v>
      </c>
      <c r="S5" s="12" t="s">
        <v>41</v>
      </c>
      <c r="T5" s="77" t="s">
        <v>38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12.75">
      <c r="A6" s="76" t="s">
        <v>5</v>
      </c>
      <c r="B6" s="12" t="s">
        <v>3</v>
      </c>
      <c r="C6" s="5" t="s">
        <v>6</v>
      </c>
      <c r="D6" s="59" t="s">
        <v>4</v>
      </c>
      <c r="E6" s="5" t="s">
        <v>0</v>
      </c>
      <c r="F6" s="15"/>
      <c r="G6" s="9" t="s">
        <v>12</v>
      </c>
      <c r="H6" s="29" t="s">
        <v>39</v>
      </c>
      <c r="I6" s="28" t="s">
        <v>10</v>
      </c>
      <c r="J6" s="2"/>
      <c r="K6" s="2"/>
      <c r="L6" s="2"/>
      <c r="M6" s="2"/>
      <c r="N6" s="21">
        <v>0</v>
      </c>
      <c r="O6" s="9"/>
      <c r="P6" s="12"/>
      <c r="Q6" s="67"/>
      <c r="R6" s="9"/>
      <c r="S6" s="12" t="s">
        <v>42</v>
      </c>
      <c r="T6" s="77"/>
      <c r="U6" s="14"/>
      <c r="V6" s="14">
        <f>+'[2]INVERSION'!$D$20</f>
        <v>26194673260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2.75">
      <c r="A7" s="80"/>
      <c r="B7" s="67" t="s">
        <v>0</v>
      </c>
      <c r="C7" s="9" t="s">
        <v>0</v>
      </c>
      <c r="D7" s="60" t="s">
        <v>0</v>
      </c>
      <c r="E7" s="16" t="s">
        <v>0</v>
      </c>
      <c r="F7" s="16"/>
      <c r="G7" s="10"/>
      <c r="H7" s="17"/>
      <c r="I7" s="17"/>
      <c r="J7" s="2"/>
      <c r="K7" s="2"/>
      <c r="L7" s="2"/>
      <c r="M7" s="2"/>
      <c r="N7" s="21" t="s">
        <v>0</v>
      </c>
      <c r="O7" s="8"/>
      <c r="P7" s="2"/>
      <c r="Q7" s="8"/>
      <c r="R7" s="8"/>
      <c r="S7" s="21"/>
      <c r="T7" s="79"/>
      <c r="U7" s="57"/>
      <c r="V7" s="57">
        <f>+D9+D61</f>
        <v>9274276366</v>
      </c>
      <c r="W7" s="57"/>
      <c r="X7" s="57"/>
      <c r="Y7" s="57"/>
      <c r="Z7" s="57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2.75">
      <c r="A8" s="81"/>
      <c r="B8" s="3"/>
      <c r="C8" s="3"/>
      <c r="D8" s="3" t="s">
        <v>0</v>
      </c>
      <c r="E8" s="3"/>
      <c r="F8" s="3"/>
      <c r="G8" s="3"/>
      <c r="H8" s="3"/>
      <c r="I8" s="3"/>
      <c r="J8" s="3"/>
      <c r="K8" s="3"/>
      <c r="L8" s="3"/>
      <c r="M8" s="3"/>
      <c r="N8" s="3" t="s">
        <v>0</v>
      </c>
      <c r="O8" s="3"/>
      <c r="P8" s="3"/>
      <c r="Q8" s="3"/>
      <c r="R8" s="3"/>
      <c r="S8" s="3"/>
      <c r="T8" s="82"/>
      <c r="U8" s="100"/>
      <c r="V8" s="100"/>
      <c r="W8" s="100"/>
      <c r="X8" s="100"/>
      <c r="Y8" s="100"/>
      <c r="Z8" s="57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2.75">
      <c r="A9" s="83" t="s">
        <v>20</v>
      </c>
      <c r="B9" s="19">
        <f>+B10+B34+B36+B39</f>
        <v>2347454000</v>
      </c>
      <c r="C9" s="19">
        <f aca="true" t="shared" si="0" ref="C9:R9">+C10+C34+C36+C39</f>
        <v>61000000</v>
      </c>
      <c r="D9" s="19">
        <f t="shared" si="0"/>
        <v>2408454000</v>
      </c>
      <c r="E9" s="19" t="e">
        <f t="shared" si="0"/>
        <v>#VALUE!</v>
      </c>
      <c r="F9" s="19">
        <f t="shared" si="0"/>
        <v>1374710725</v>
      </c>
      <c r="G9" s="19">
        <f t="shared" si="0"/>
        <v>778018700</v>
      </c>
      <c r="H9" s="19" t="e">
        <f t="shared" si="0"/>
        <v>#VALUE!</v>
      </c>
      <c r="I9" s="19">
        <f>+I10+I34+I36+I39</f>
        <v>1091.7156987358176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>+N10+N34+N36+N39</f>
        <v>2396053324</v>
      </c>
      <c r="O9" s="19">
        <f t="shared" si="0"/>
        <v>2396053324</v>
      </c>
      <c r="P9" s="19">
        <f t="shared" si="0"/>
        <v>1996062383</v>
      </c>
      <c r="Q9" s="19">
        <f t="shared" si="0"/>
        <v>2383350924</v>
      </c>
      <c r="R9" s="19">
        <f t="shared" si="0"/>
        <v>2383350924</v>
      </c>
      <c r="S9" s="19">
        <f>+S10+S34+S36+S39</f>
        <v>12400676</v>
      </c>
      <c r="T9" s="84">
        <f aca="true" t="shared" si="1" ref="T9:T27">+O9/D9*100</f>
        <v>99.48511883556837</v>
      </c>
      <c r="U9" s="102" t="s">
        <v>0</v>
      </c>
      <c r="V9" s="100"/>
      <c r="W9" s="100"/>
      <c r="X9" s="100"/>
      <c r="Y9" s="100"/>
      <c r="Z9" s="57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2.75">
      <c r="A10" s="83" t="s">
        <v>7</v>
      </c>
      <c r="B10" s="19">
        <f>+B11</f>
        <v>2311058000</v>
      </c>
      <c r="C10" s="19">
        <f aca="true" t="shared" si="2" ref="C10:S10">+C11</f>
        <v>61000000</v>
      </c>
      <c r="D10" s="19">
        <f t="shared" si="2"/>
        <v>2372058000</v>
      </c>
      <c r="E10" s="19" t="e">
        <f t="shared" si="2"/>
        <v>#VALUE!</v>
      </c>
      <c r="F10" s="19">
        <f t="shared" si="2"/>
        <v>1374710725</v>
      </c>
      <c r="G10" s="19">
        <f t="shared" si="2"/>
        <v>778018700</v>
      </c>
      <c r="H10" s="19" t="e">
        <f t="shared" si="2"/>
        <v>#VALUE!</v>
      </c>
      <c r="I10" s="19">
        <f t="shared" si="2"/>
        <v>1091.7156987358176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19">
        <f t="shared" si="2"/>
        <v>2359657324</v>
      </c>
      <c r="O10" s="19">
        <f t="shared" si="2"/>
        <v>2359657324</v>
      </c>
      <c r="P10" s="19">
        <f t="shared" si="2"/>
        <v>1996062383</v>
      </c>
      <c r="Q10" s="19">
        <f t="shared" si="2"/>
        <v>2346954924</v>
      </c>
      <c r="R10" s="19">
        <f t="shared" si="2"/>
        <v>2346954924</v>
      </c>
      <c r="S10" s="19">
        <f t="shared" si="2"/>
        <v>12400676</v>
      </c>
      <c r="T10" s="84">
        <f t="shared" si="1"/>
        <v>99.47721868520921</v>
      </c>
      <c r="U10" s="100"/>
      <c r="V10" s="100"/>
      <c r="W10" s="100"/>
      <c r="X10" s="100"/>
      <c r="Y10" s="100"/>
      <c r="Z10" s="57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2.75">
      <c r="A11" s="81" t="s">
        <v>114</v>
      </c>
      <c r="B11" s="21">
        <f>+B12+B23+B31</f>
        <v>2311058000</v>
      </c>
      <c r="C11" s="21">
        <f aca="true" t="shared" si="3" ref="C11:S11">+C12+C23+C31</f>
        <v>61000000</v>
      </c>
      <c r="D11" s="21">
        <f t="shared" si="3"/>
        <v>2372058000</v>
      </c>
      <c r="E11" s="21" t="e">
        <f t="shared" si="3"/>
        <v>#VALUE!</v>
      </c>
      <c r="F11" s="21">
        <f t="shared" si="3"/>
        <v>1374710725</v>
      </c>
      <c r="G11" s="21">
        <f t="shared" si="3"/>
        <v>778018700</v>
      </c>
      <c r="H11" s="21" t="e">
        <f t="shared" si="3"/>
        <v>#VALUE!</v>
      </c>
      <c r="I11" s="21">
        <f t="shared" si="3"/>
        <v>1091.7156987358176</v>
      </c>
      <c r="J11" s="21">
        <f t="shared" si="3"/>
        <v>0</v>
      </c>
      <c r="K11" s="21">
        <f t="shared" si="3"/>
        <v>0</v>
      </c>
      <c r="L11" s="21">
        <f t="shared" si="3"/>
        <v>0</v>
      </c>
      <c r="M11" s="21">
        <f t="shared" si="3"/>
        <v>0</v>
      </c>
      <c r="N11" s="21">
        <f t="shared" si="3"/>
        <v>2359657324</v>
      </c>
      <c r="O11" s="21">
        <f t="shared" si="3"/>
        <v>2359657324</v>
      </c>
      <c r="P11" s="21">
        <f t="shared" si="3"/>
        <v>1996062383</v>
      </c>
      <c r="Q11" s="21">
        <f t="shared" si="3"/>
        <v>2346954924</v>
      </c>
      <c r="R11" s="21">
        <f t="shared" si="3"/>
        <v>2346954924</v>
      </c>
      <c r="S11" s="21">
        <f t="shared" si="3"/>
        <v>12400676</v>
      </c>
      <c r="T11" s="84">
        <f t="shared" si="1"/>
        <v>99.47721868520921</v>
      </c>
      <c r="U11" s="100"/>
      <c r="V11" s="100"/>
      <c r="W11" s="100"/>
      <c r="X11" s="100"/>
      <c r="Y11" s="100"/>
      <c r="Z11" s="57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12.75">
      <c r="A12" s="81" t="s">
        <v>115</v>
      </c>
      <c r="B12" s="21">
        <f>+B13</f>
        <v>1757208001</v>
      </c>
      <c r="C12" s="21">
        <f aca="true" t="shared" si="4" ref="C12:S12">+C13</f>
        <v>61000000</v>
      </c>
      <c r="D12" s="21">
        <f t="shared" si="4"/>
        <v>1818208001</v>
      </c>
      <c r="E12" s="21">
        <f t="shared" si="4"/>
        <v>1184836316</v>
      </c>
      <c r="F12" s="21">
        <f t="shared" si="4"/>
        <v>1184836316</v>
      </c>
      <c r="G12" s="21">
        <f t="shared" si="4"/>
        <v>630801908</v>
      </c>
      <c r="H12" s="21">
        <f t="shared" si="4"/>
        <v>891.7156987358176</v>
      </c>
      <c r="I12" s="21">
        <f t="shared" si="4"/>
        <v>891.7156987358176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0</v>
      </c>
      <c r="N12" s="21">
        <f t="shared" si="4"/>
        <v>1806939796</v>
      </c>
      <c r="O12" s="21">
        <f t="shared" si="4"/>
        <v>1806939796</v>
      </c>
      <c r="P12" s="21">
        <f t="shared" si="4"/>
        <v>1806187974</v>
      </c>
      <c r="Q12" s="21">
        <f t="shared" si="4"/>
        <v>1806939796</v>
      </c>
      <c r="R12" s="21">
        <f t="shared" si="4"/>
        <v>1806939796</v>
      </c>
      <c r="S12" s="21">
        <f t="shared" si="4"/>
        <v>11268205</v>
      </c>
      <c r="T12" s="84">
        <f t="shared" si="1"/>
        <v>99.38025764963069</v>
      </c>
      <c r="U12" s="100"/>
      <c r="V12" s="100"/>
      <c r="W12" s="100"/>
      <c r="X12" s="100"/>
      <c r="Y12" s="100"/>
      <c r="Z12" s="57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12.75">
      <c r="A13" s="83" t="s">
        <v>116</v>
      </c>
      <c r="B13" s="19">
        <f>+B14+B15+B16+B17+B18+B19+B20</f>
        <v>1757208001</v>
      </c>
      <c r="C13" s="19">
        <f aca="true" t="shared" si="5" ref="C13:S13">+C14+C15+C16+C17+C18+C19+C20</f>
        <v>61000000</v>
      </c>
      <c r="D13" s="19">
        <f t="shared" si="5"/>
        <v>1818208001</v>
      </c>
      <c r="E13" s="19">
        <f t="shared" si="5"/>
        <v>1184836316</v>
      </c>
      <c r="F13" s="19">
        <f t="shared" si="5"/>
        <v>1184836316</v>
      </c>
      <c r="G13" s="19">
        <f t="shared" si="5"/>
        <v>630801908</v>
      </c>
      <c r="H13" s="19">
        <f t="shared" si="5"/>
        <v>891.7156987358176</v>
      </c>
      <c r="I13" s="19">
        <f t="shared" si="5"/>
        <v>891.7156987358176</v>
      </c>
      <c r="J13" s="19">
        <f t="shared" si="5"/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1806939796</v>
      </c>
      <c r="O13" s="19">
        <f t="shared" si="5"/>
        <v>1806939796</v>
      </c>
      <c r="P13" s="19">
        <f t="shared" si="5"/>
        <v>1806187974</v>
      </c>
      <c r="Q13" s="19">
        <f t="shared" si="5"/>
        <v>1806939796</v>
      </c>
      <c r="R13" s="19">
        <f t="shared" si="5"/>
        <v>1806939796</v>
      </c>
      <c r="S13" s="19">
        <f t="shared" si="5"/>
        <v>11268205</v>
      </c>
      <c r="T13" s="84">
        <f t="shared" si="1"/>
        <v>99.38025764963069</v>
      </c>
      <c r="U13" s="100"/>
      <c r="V13" s="100"/>
      <c r="W13" s="100"/>
      <c r="X13" s="100"/>
      <c r="Y13" s="100"/>
      <c r="Z13" s="57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</row>
    <row r="14" spans="1:40" ht="12.75">
      <c r="A14" s="81" t="s">
        <v>112</v>
      </c>
      <c r="B14" s="21">
        <v>1410695669</v>
      </c>
      <c r="C14" s="6">
        <v>0</v>
      </c>
      <c r="D14" s="63">
        <f aca="true" t="shared" si="6" ref="D14:D19">+B14+C14</f>
        <v>1410695669</v>
      </c>
      <c r="E14" s="20">
        <v>910042416</v>
      </c>
      <c r="F14" s="20">
        <v>910042416</v>
      </c>
      <c r="G14" s="6">
        <f>+D14-E14</f>
        <v>500653253</v>
      </c>
      <c r="H14" s="20">
        <f>+E14/D14*100</f>
        <v>64.51018713661337</v>
      </c>
      <c r="I14" s="20">
        <f>+F14/D14*100</f>
        <v>64.51018713661337</v>
      </c>
      <c r="J14" s="6"/>
      <c r="K14" s="21"/>
      <c r="L14" s="21"/>
      <c r="M14" s="21"/>
      <c r="N14" s="21">
        <f>1408650335+2045334</f>
        <v>1410695669</v>
      </c>
      <c r="O14" s="6">
        <f>+N14</f>
        <v>1410695669</v>
      </c>
      <c r="P14" s="21">
        <f>+O14</f>
        <v>1410695669</v>
      </c>
      <c r="Q14" s="6">
        <f aca="true" t="shared" si="7" ref="Q14:Q19">+O14</f>
        <v>1410695669</v>
      </c>
      <c r="R14" s="6">
        <f>+Q14</f>
        <v>1410695669</v>
      </c>
      <c r="S14" s="21">
        <f aca="true" t="shared" si="8" ref="S14:S19">+D14-O14</f>
        <v>0</v>
      </c>
      <c r="T14" s="84">
        <f t="shared" si="1"/>
        <v>100</v>
      </c>
      <c r="U14" s="100"/>
      <c r="V14" s="100"/>
      <c r="W14" s="100"/>
      <c r="X14" s="100"/>
      <c r="Y14" s="100"/>
      <c r="Z14" s="57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2.75">
      <c r="A15" s="85" t="s">
        <v>21</v>
      </c>
      <c r="B15" s="21">
        <v>2569777</v>
      </c>
      <c r="C15" s="6">
        <v>0</v>
      </c>
      <c r="D15" s="63">
        <f t="shared" si="6"/>
        <v>2569777</v>
      </c>
      <c r="E15" s="20"/>
      <c r="F15" s="20"/>
      <c r="G15" s="6"/>
      <c r="H15" s="20"/>
      <c r="I15" s="20"/>
      <c r="J15" s="6"/>
      <c r="K15" s="21"/>
      <c r="L15" s="21"/>
      <c r="M15" s="21"/>
      <c r="N15" s="21">
        <f>798551-46729</f>
        <v>751822</v>
      </c>
      <c r="O15" s="6">
        <f>+N15</f>
        <v>751822</v>
      </c>
      <c r="P15" s="21"/>
      <c r="Q15" s="6">
        <f t="shared" si="7"/>
        <v>751822</v>
      </c>
      <c r="R15" s="6">
        <f>+Q15</f>
        <v>751822</v>
      </c>
      <c r="S15" s="21">
        <f t="shared" si="8"/>
        <v>1817955</v>
      </c>
      <c r="T15" s="84">
        <f t="shared" si="1"/>
        <v>29.2563129018588</v>
      </c>
      <c r="U15" s="100"/>
      <c r="V15" s="100"/>
      <c r="W15" s="100"/>
      <c r="X15" s="100"/>
      <c r="Y15" s="100"/>
      <c r="Z15" s="57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12.75">
      <c r="A16" s="85" t="s">
        <v>117</v>
      </c>
      <c r="B16" s="21">
        <v>11437599</v>
      </c>
      <c r="C16" s="6">
        <v>0</v>
      </c>
      <c r="D16" s="63">
        <f t="shared" si="6"/>
        <v>11437599</v>
      </c>
      <c r="E16" s="20">
        <v>805455</v>
      </c>
      <c r="F16" s="20">
        <v>805455</v>
      </c>
      <c r="G16" s="6">
        <f>+D16-E16</f>
        <v>10632144</v>
      </c>
      <c r="H16" s="20">
        <f>+E16/D16*100</f>
        <v>7.042168553032853</v>
      </c>
      <c r="I16" s="20">
        <f>+F16/D16*100</f>
        <v>7.042168553032853</v>
      </c>
      <c r="J16" s="6"/>
      <c r="K16" s="21"/>
      <c r="L16" s="21"/>
      <c r="M16" s="21"/>
      <c r="N16" s="21">
        <f>10554027+47477</f>
        <v>10601504</v>
      </c>
      <c r="O16" s="6">
        <f>+N16</f>
        <v>10601504</v>
      </c>
      <c r="P16" s="21">
        <f>+O16</f>
        <v>10601504</v>
      </c>
      <c r="Q16" s="6">
        <f t="shared" si="7"/>
        <v>10601504</v>
      </c>
      <c r="R16" s="6">
        <f>+Q16</f>
        <v>10601504</v>
      </c>
      <c r="S16" s="21">
        <f t="shared" si="8"/>
        <v>836095</v>
      </c>
      <c r="T16" s="84">
        <f t="shared" si="1"/>
        <v>92.68994305535628</v>
      </c>
      <c r="U16" s="100"/>
      <c r="V16" s="100"/>
      <c r="W16" s="100"/>
      <c r="X16" s="100"/>
      <c r="Y16" s="100"/>
      <c r="Z16" s="57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2.75">
      <c r="A17" s="85" t="s">
        <v>118</v>
      </c>
      <c r="B17" s="21">
        <v>17797856</v>
      </c>
      <c r="C17" s="6">
        <v>0</v>
      </c>
      <c r="D17" s="63">
        <f t="shared" si="6"/>
        <v>17797856</v>
      </c>
      <c r="E17" s="20">
        <v>97076221</v>
      </c>
      <c r="F17" s="20">
        <v>97076221</v>
      </c>
      <c r="G17" s="6">
        <f>+D17-E17</f>
        <v>-79278365</v>
      </c>
      <c r="H17" s="20">
        <f>+E17/D17*100</f>
        <v>545.4377257575294</v>
      </c>
      <c r="I17" s="20">
        <f>+F17/D17*100</f>
        <v>545.4377257575294</v>
      </c>
      <c r="J17" s="6"/>
      <c r="K17" s="21"/>
      <c r="L17" s="21"/>
      <c r="M17" s="21"/>
      <c r="N17" s="21">
        <f>16560694+74518</f>
        <v>16635212</v>
      </c>
      <c r="O17" s="6">
        <f>+N17</f>
        <v>16635212</v>
      </c>
      <c r="P17" s="21">
        <f>+O17</f>
        <v>16635212</v>
      </c>
      <c r="Q17" s="6">
        <f t="shared" si="7"/>
        <v>16635212</v>
      </c>
      <c r="R17" s="6">
        <f>+Q17</f>
        <v>16635212</v>
      </c>
      <c r="S17" s="21">
        <f t="shared" si="8"/>
        <v>1162644</v>
      </c>
      <c r="T17" s="84">
        <f t="shared" si="1"/>
        <v>93.46750529951473</v>
      </c>
      <c r="U17" s="100"/>
      <c r="V17" s="100"/>
      <c r="W17" s="100"/>
      <c r="X17" s="100"/>
      <c r="Y17" s="100"/>
      <c r="Z17" s="57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12.75">
      <c r="A18" s="85" t="s">
        <v>119</v>
      </c>
      <c r="B18" s="21">
        <v>66386142</v>
      </c>
      <c r="C18" s="6">
        <v>0</v>
      </c>
      <c r="D18" s="63">
        <f t="shared" si="6"/>
        <v>66386142</v>
      </c>
      <c r="E18" s="20">
        <f>11820000+57319500+18076500+2559658</f>
        <v>89775658</v>
      </c>
      <c r="F18" s="20">
        <f>11820000+57319500+18076500+2559658</f>
        <v>89775658</v>
      </c>
      <c r="G18" s="6">
        <f>+D18-E18</f>
        <v>-23389516</v>
      </c>
      <c r="H18" s="20">
        <f>+E18/D18*100</f>
        <v>135.2325278971626</v>
      </c>
      <c r="I18" s="20">
        <f>+F18/D18*100</f>
        <v>135.2325278971626</v>
      </c>
      <c r="J18" s="6"/>
      <c r="K18" s="21"/>
      <c r="L18" s="21"/>
      <c r="M18" s="21"/>
      <c r="N18" s="21">
        <v>66386142</v>
      </c>
      <c r="O18" s="6">
        <f>+N18</f>
        <v>66386142</v>
      </c>
      <c r="P18" s="21">
        <f>+O18</f>
        <v>66386142</v>
      </c>
      <c r="Q18" s="6">
        <f t="shared" si="7"/>
        <v>66386142</v>
      </c>
      <c r="R18" s="6">
        <f>+Q18</f>
        <v>66386142</v>
      </c>
      <c r="S18" s="21">
        <f t="shared" si="8"/>
        <v>0</v>
      </c>
      <c r="T18" s="84">
        <f t="shared" si="1"/>
        <v>100</v>
      </c>
      <c r="U18" s="100"/>
      <c r="V18" s="100"/>
      <c r="W18" s="100"/>
      <c r="X18" s="100"/>
      <c r="Y18" s="100"/>
      <c r="Z18" s="57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2.75">
      <c r="A19" s="85" t="s">
        <v>120</v>
      </c>
      <c r="B19" s="21">
        <v>47302866</v>
      </c>
      <c r="C19" s="6">
        <v>0</v>
      </c>
      <c r="D19" s="63">
        <f t="shared" si="6"/>
        <v>47302866</v>
      </c>
      <c r="E19" s="20">
        <f>+D19</f>
        <v>47302866</v>
      </c>
      <c r="F19" s="20">
        <f>+E19</f>
        <v>47302866</v>
      </c>
      <c r="G19" s="6">
        <f>+D19-E19</f>
        <v>0</v>
      </c>
      <c r="H19" s="20">
        <f>+E19/D19*100</f>
        <v>100</v>
      </c>
      <c r="I19" s="20">
        <f>+F19/D19*100</f>
        <v>100</v>
      </c>
      <c r="J19" s="6"/>
      <c r="K19" s="21"/>
      <c r="L19" s="21"/>
      <c r="M19" s="21"/>
      <c r="N19" s="21">
        <f>46939295+363571</f>
        <v>47302866</v>
      </c>
      <c r="O19" s="6">
        <f>+N19</f>
        <v>47302866</v>
      </c>
      <c r="P19" s="21">
        <f>+O19</f>
        <v>47302866</v>
      </c>
      <c r="Q19" s="6">
        <f t="shared" si="7"/>
        <v>47302866</v>
      </c>
      <c r="R19" s="6">
        <f>46939295+363571</f>
        <v>47302866</v>
      </c>
      <c r="S19" s="21">
        <f t="shared" si="8"/>
        <v>0</v>
      </c>
      <c r="T19" s="84">
        <f t="shared" si="1"/>
        <v>100</v>
      </c>
      <c r="U19" s="100"/>
      <c r="V19" s="100"/>
      <c r="W19" s="100"/>
      <c r="X19" s="100"/>
      <c r="Y19" s="100"/>
      <c r="Z19" s="57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12.75">
      <c r="A20" s="83" t="s">
        <v>121</v>
      </c>
      <c r="B20" s="19">
        <f>+B21+B22</f>
        <v>201018092</v>
      </c>
      <c r="C20" s="19">
        <f aca="true" t="shared" si="9" ref="C20:S20">+C21+C22</f>
        <v>61000000</v>
      </c>
      <c r="D20" s="19">
        <f t="shared" si="9"/>
        <v>262018092</v>
      </c>
      <c r="E20" s="19">
        <f t="shared" si="9"/>
        <v>39833700</v>
      </c>
      <c r="F20" s="19">
        <f t="shared" si="9"/>
        <v>39833700</v>
      </c>
      <c r="G20" s="19">
        <f t="shared" si="9"/>
        <v>222184392</v>
      </c>
      <c r="H20" s="19">
        <f t="shared" si="9"/>
        <v>39.49308939147937</v>
      </c>
      <c r="I20" s="19">
        <f t="shared" si="9"/>
        <v>39.49308939147937</v>
      </c>
      <c r="J20" s="19">
        <f t="shared" si="9"/>
        <v>0</v>
      </c>
      <c r="K20" s="19">
        <f t="shared" si="9"/>
        <v>0</v>
      </c>
      <c r="L20" s="19">
        <f t="shared" si="9"/>
        <v>0</v>
      </c>
      <c r="M20" s="19">
        <f t="shared" si="9"/>
        <v>0</v>
      </c>
      <c r="N20" s="19">
        <f t="shared" si="9"/>
        <v>254566581</v>
      </c>
      <c r="O20" s="19">
        <f t="shared" si="9"/>
        <v>254566581</v>
      </c>
      <c r="P20" s="19">
        <f t="shared" si="9"/>
        <v>254566581</v>
      </c>
      <c r="Q20" s="19">
        <f t="shared" si="9"/>
        <v>254566581</v>
      </c>
      <c r="R20" s="19">
        <f t="shared" si="9"/>
        <v>254566581</v>
      </c>
      <c r="S20" s="19">
        <f t="shared" si="9"/>
        <v>7451511</v>
      </c>
      <c r="T20" s="84">
        <f t="shared" si="1"/>
        <v>97.1561082125581</v>
      </c>
      <c r="U20" s="100"/>
      <c r="V20" s="100"/>
      <c r="W20" s="100"/>
      <c r="X20" s="100"/>
      <c r="Y20" s="100"/>
      <c r="Z20" s="57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2.75">
      <c r="A21" s="85" t="s">
        <v>122</v>
      </c>
      <c r="B21" s="21">
        <v>138760930</v>
      </c>
      <c r="C21" s="6">
        <f>+D21-B21</f>
        <v>61000000</v>
      </c>
      <c r="D21" s="63">
        <v>199760930</v>
      </c>
      <c r="E21" s="20">
        <v>22149500</v>
      </c>
      <c r="F21" s="20">
        <v>22149500</v>
      </c>
      <c r="G21" s="6">
        <f>+D21-E21</f>
        <v>177611430</v>
      </c>
      <c r="H21" s="20">
        <f>+E21/D21*100</f>
        <v>11.08800404563595</v>
      </c>
      <c r="I21" s="20">
        <f>+F21/D21*100</f>
        <v>11.08800404563595</v>
      </c>
      <c r="J21" s="6"/>
      <c r="K21" s="21"/>
      <c r="L21" s="21"/>
      <c r="M21" s="21"/>
      <c r="N21" s="21">
        <f>199709885+51045</f>
        <v>199760930</v>
      </c>
      <c r="O21" s="6">
        <f>+N21</f>
        <v>199760930</v>
      </c>
      <c r="P21" s="21">
        <f>+O21</f>
        <v>199760930</v>
      </c>
      <c r="Q21" s="6">
        <f>+O21</f>
        <v>199760930</v>
      </c>
      <c r="R21" s="6">
        <f>+Q21</f>
        <v>199760930</v>
      </c>
      <c r="S21" s="21">
        <f>+D21-O21</f>
        <v>0</v>
      </c>
      <c r="T21" s="84">
        <f t="shared" si="1"/>
        <v>100</v>
      </c>
      <c r="U21" s="100"/>
      <c r="V21" s="100"/>
      <c r="W21" s="100"/>
      <c r="X21" s="100"/>
      <c r="Y21" s="100"/>
      <c r="Z21" s="57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ht="12.75">
      <c r="A22" s="85" t="s">
        <v>123</v>
      </c>
      <c r="B22" s="21">
        <v>62257162</v>
      </c>
      <c r="C22" s="6">
        <v>0</v>
      </c>
      <c r="D22" s="63">
        <f>+B22+C22</f>
        <v>62257162</v>
      </c>
      <c r="E22" s="20">
        <v>17684200</v>
      </c>
      <c r="F22" s="20">
        <v>17684200</v>
      </c>
      <c r="G22" s="6">
        <f>+D22-E22</f>
        <v>44572962</v>
      </c>
      <c r="H22" s="20">
        <f>+E22/D22*100</f>
        <v>28.40508534584342</v>
      </c>
      <c r="I22" s="20">
        <f>+F22/D22*100</f>
        <v>28.40508534584342</v>
      </c>
      <c r="J22" s="6"/>
      <c r="K22" s="21"/>
      <c r="L22" s="21"/>
      <c r="M22" s="21"/>
      <c r="N22" s="21">
        <v>54805651</v>
      </c>
      <c r="O22" s="8">
        <f>+N22</f>
        <v>54805651</v>
      </c>
      <c r="P22" s="21">
        <f>+O22</f>
        <v>54805651</v>
      </c>
      <c r="Q22" s="6">
        <f>+O22</f>
        <v>54805651</v>
      </c>
      <c r="R22" s="6">
        <f>+Q22</f>
        <v>54805651</v>
      </c>
      <c r="S22" s="21">
        <f>+D22-O22</f>
        <v>7451511</v>
      </c>
      <c r="T22" s="84">
        <f t="shared" si="1"/>
        <v>88.03107825570333</v>
      </c>
      <c r="U22" s="100"/>
      <c r="V22" s="100"/>
      <c r="W22" s="100"/>
      <c r="X22" s="100"/>
      <c r="Y22" s="100"/>
      <c r="Z22" s="57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2.75">
      <c r="A23" s="83" t="s">
        <v>124</v>
      </c>
      <c r="B23" s="19">
        <f>+B24+B25+B26+B27+B28+B29+B30</f>
        <v>383449999</v>
      </c>
      <c r="C23" s="19">
        <f aca="true" t="shared" si="10" ref="C23:S23">+C24+C25+C26+C27+C28+C29+C30</f>
        <v>0</v>
      </c>
      <c r="D23" s="19">
        <f t="shared" si="10"/>
        <v>383449999</v>
      </c>
      <c r="E23" s="19" t="e">
        <f t="shared" si="10"/>
        <v>#VALUE!</v>
      </c>
      <c r="F23" s="19">
        <f t="shared" si="10"/>
        <v>189874409</v>
      </c>
      <c r="G23" s="19">
        <f t="shared" si="10"/>
        <v>147216792</v>
      </c>
      <c r="H23" s="19" t="e">
        <f t="shared" si="10"/>
        <v>#VALUE!</v>
      </c>
      <c r="I23" s="19">
        <f t="shared" si="10"/>
        <v>200</v>
      </c>
      <c r="J23" s="19">
        <f t="shared" si="10"/>
        <v>0</v>
      </c>
      <c r="K23" s="19">
        <f t="shared" si="10"/>
        <v>0</v>
      </c>
      <c r="L23" s="19">
        <f t="shared" si="10"/>
        <v>0</v>
      </c>
      <c r="M23" s="19">
        <f t="shared" si="10"/>
        <v>0</v>
      </c>
      <c r="N23" s="19">
        <f t="shared" si="10"/>
        <v>383449999</v>
      </c>
      <c r="O23" s="19">
        <f t="shared" si="10"/>
        <v>383449999</v>
      </c>
      <c r="P23" s="19">
        <f t="shared" si="10"/>
        <v>189874409</v>
      </c>
      <c r="Q23" s="19">
        <f t="shared" si="10"/>
        <v>370747599</v>
      </c>
      <c r="R23" s="19">
        <f t="shared" si="10"/>
        <v>370747599</v>
      </c>
      <c r="S23" s="19">
        <f t="shared" si="10"/>
        <v>0</v>
      </c>
      <c r="T23" s="84">
        <f t="shared" si="1"/>
        <v>100</v>
      </c>
      <c r="U23" s="100"/>
      <c r="V23" s="100"/>
      <c r="W23" s="100"/>
      <c r="X23" s="100"/>
      <c r="Y23" s="100"/>
      <c r="Z23" s="57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12.75">
      <c r="A24" s="85" t="s">
        <v>125</v>
      </c>
      <c r="B24" s="21">
        <v>113742625</v>
      </c>
      <c r="C24" s="6">
        <v>0</v>
      </c>
      <c r="D24" s="15">
        <f aca="true" t="shared" si="11" ref="D24:D30">+B24+C24</f>
        <v>113742625</v>
      </c>
      <c r="E24" s="20">
        <f>+D24</f>
        <v>113742625</v>
      </c>
      <c r="F24" s="20">
        <f>+E24</f>
        <v>113742625</v>
      </c>
      <c r="G24" s="6">
        <f>+D24-E24</f>
        <v>0</v>
      </c>
      <c r="H24" s="20">
        <f>+E24/D24*100</f>
        <v>100</v>
      </c>
      <c r="I24" s="20">
        <f>+F24/D24*100</f>
        <v>100</v>
      </c>
      <c r="J24" s="6"/>
      <c r="K24" s="21"/>
      <c r="L24" s="21"/>
      <c r="M24" s="21"/>
      <c r="N24" s="21">
        <f>113649950+92675</f>
        <v>113742625</v>
      </c>
      <c r="O24" s="6">
        <f>+N24</f>
        <v>113742625</v>
      </c>
      <c r="P24" s="21">
        <f>+O24</f>
        <v>113742625</v>
      </c>
      <c r="Q24" s="6">
        <f>+O24</f>
        <v>113742625</v>
      </c>
      <c r="R24" s="6">
        <f aca="true" t="shared" si="12" ref="R24:R29">+Q24</f>
        <v>113742625</v>
      </c>
      <c r="S24" s="21">
        <f aca="true" t="shared" si="13" ref="S24:S30">+D24-O24</f>
        <v>0</v>
      </c>
      <c r="T24" s="84">
        <f t="shared" si="1"/>
        <v>100</v>
      </c>
      <c r="U24" s="100"/>
      <c r="V24" s="100"/>
      <c r="W24" s="100"/>
      <c r="X24" s="100"/>
      <c r="Y24" s="100"/>
      <c r="Z24" s="57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2.75">
      <c r="A25" s="85" t="s">
        <v>126</v>
      </c>
      <c r="B25" s="21">
        <v>76131784</v>
      </c>
      <c r="C25" s="6">
        <v>0</v>
      </c>
      <c r="D25" s="63">
        <f t="shared" si="11"/>
        <v>76131784</v>
      </c>
      <c r="E25" s="20">
        <f>+D25</f>
        <v>76131784</v>
      </c>
      <c r="F25" s="20">
        <f>+E25</f>
        <v>76131784</v>
      </c>
      <c r="G25" s="6">
        <f>+D25-E25</f>
        <v>0</v>
      </c>
      <c r="H25" s="20">
        <f>+E25/D25*100</f>
        <v>100</v>
      </c>
      <c r="I25" s="20">
        <f>+F25/D25*100</f>
        <v>100</v>
      </c>
      <c r="J25" s="6"/>
      <c r="K25" s="21"/>
      <c r="L25" s="21"/>
      <c r="M25" s="21"/>
      <c r="N25" s="21">
        <v>76131784</v>
      </c>
      <c r="O25" s="6">
        <f>+N25</f>
        <v>76131784</v>
      </c>
      <c r="P25" s="21">
        <f>+O25</f>
        <v>76131784</v>
      </c>
      <c r="Q25" s="6">
        <f>+O25</f>
        <v>76131784</v>
      </c>
      <c r="R25" s="6">
        <f t="shared" si="12"/>
        <v>76131784</v>
      </c>
      <c r="S25" s="21">
        <f t="shared" si="13"/>
        <v>0</v>
      </c>
      <c r="T25" s="84">
        <f t="shared" si="1"/>
        <v>100</v>
      </c>
      <c r="U25" s="100"/>
      <c r="V25" s="100"/>
      <c r="W25" s="100"/>
      <c r="X25" s="100"/>
      <c r="Y25" s="100"/>
      <c r="Z25" s="57"/>
      <c r="AA25" s="14"/>
      <c r="AB25" s="22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ht="12.75">
      <c r="A26" s="85" t="s">
        <v>127</v>
      </c>
      <c r="B26" s="21">
        <v>106490052</v>
      </c>
      <c r="C26" s="6">
        <f>+C27</f>
        <v>0</v>
      </c>
      <c r="D26" s="63">
        <f t="shared" si="11"/>
        <v>106490052</v>
      </c>
      <c r="E26" s="20">
        <f>+E27</f>
        <v>0</v>
      </c>
      <c r="F26" s="20">
        <f>+F27</f>
        <v>0</v>
      </c>
      <c r="G26" s="6">
        <f>+D26-E26</f>
        <v>106490052</v>
      </c>
      <c r="H26" s="20">
        <f>+E26/D26*100</f>
        <v>0</v>
      </c>
      <c r="I26" s="20">
        <f>+F26/D26*100</f>
        <v>0</v>
      </c>
      <c r="J26" s="6"/>
      <c r="K26" s="21"/>
      <c r="L26" s="21"/>
      <c r="M26" s="21"/>
      <c r="N26" s="21">
        <v>106490052</v>
      </c>
      <c r="O26" s="6">
        <f>+N26</f>
        <v>106490052</v>
      </c>
      <c r="P26" s="21">
        <f>+P27</f>
        <v>0</v>
      </c>
      <c r="Q26" s="6">
        <f>+O26</f>
        <v>106490052</v>
      </c>
      <c r="R26" s="6">
        <f t="shared" si="12"/>
        <v>106490052</v>
      </c>
      <c r="S26" s="21">
        <f t="shared" si="13"/>
        <v>0</v>
      </c>
      <c r="T26" s="84">
        <f t="shared" si="1"/>
        <v>100</v>
      </c>
      <c r="U26" s="100"/>
      <c r="V26" s="100"/>
      <c r="W26" s="100"/>
      <c r="X26" s="100"/>
      <c r="Y26" s="100"/>
      <c r="Z26" s="57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2.75">
      <c r="A27" s="85" t="s">
        <v>128</v>
      </c>
      <c r="B27" s="21">
        <v>40726740</v>
      </c>
      <c r="C27" s="6">
        <v>0</v>
      </c>
      <c r="D27" s="63">
        <f t="shared" si="11"/>
        <v>40726740</v>
      </c>
      <c r="E27" s="20">
        <v>0</v>
      </c>
      <c r="F27" s="20">
        <v>0</v>
      </c>
      <c r="G27" s="6">
        <f>+D27-E27</f>
        <v>40726740</v>
      </c>
      <c r="H27" s="20">
        <f>+E27/D27*100</f>
        <v>0</v>
      </c>
      <c r="I27" s="20">
        <f>+F27/D27*100</f>
        <v>0</v>
      </c>
      <c r="J27" s="6"/>
      <c r="K27" s="21"/>
      <c r="L27" s="21"/>
      <c r="M27" s="21"/>
      <c r="N27" s="21">
        <v>40726740</v>
      </c>
      <c r="O27" s="6">
        <f>+N27</f>
        <v>40726740</v>
      </c>
      <c r="P27" s="21">
        <v>0</v>
      </c>
      <c r="Q27" s="6">
        <f>+O27-12702400</f>
        <v>28024340</v>
      </c>
      <c r="R27" s="6">
        <f t="shared" si="12"/>
        <v>28024340</v>
      </c>
      <c r="S27" s="21">
        <f t="shared" si="13"/>
        <v>0</v>
      </c>
      <c r="T27" s="84">
        <f t="shared" si="1"/>
        <v>100</v>
      </c>
      <c r="U27" s="100"/>
      <c r="V27" s="100"/>
      <c r="W27" s="100"/>
      <c r="X27" s="100"/>
      <c r="Y27" s="100"/>
      <c r="Z27" s="57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25.5">
      <c r="A28" s="86" t="s">
        <v>129</v>
      </c>
      <c r="B28" s="3">
        <v>313795</v>
      </c>
      <c r="C28" s="8">
        <v>0</v>
      </c>
      <c r="D28" s="63">
        <f t="shared" si="11"/>
        <v>313795</v>
      </c>
      <c r="E28" s="20" t="s">
        <v>0</v>
      </c>
      <c r="F28" s="20"/>
      <c r="G28" s="6"/>
      <c r="H28" s="20" t="s">
        <v>0</v>
      </c>
      <c r="I28" s="6"/>
      <c r="J28" s="6"/>
      <c r="K28" s="21"/>
      <c r="L28" s="21"/>
      <c r="M28" s="21"/>
      <c r="N28" s="21">
        <v>313795</v>
      </c>
      <c r="O28" s="6">
        <f>+N28</f>
        <v>313795</v>
      </c>
      <c r="P28" s="21"/>
      <c r="Q28" s="21">
        <f>+O28</f>
        <v>313795</v>
      </c>
      <c r="R28" s="6">
        <f t="shared" si="12"/>
        <v>313795</v>
      </c>
      <c r="S28" s="21">
        <f t="shared" si="13"/>
        <v>0</v>
      </c>
      <c r="T28" s="84">
        <f aca="true" t="shared" si="14" ref="T28:T40">+O28/D28*100</f>
        <v>100</v>
      </c>
      <c r="U28" s="57"/>
      <c r="V28" s="57"/>
      <c r="W28" s="57"/>
      <c r="X28" s="57"/>
      <c r="Y28" s="57"/>
      <c r="Z28" s="57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2.75">
      <c r="A29" s="85" t="s">
        <v>130</v>
      </c>
      <c r="B29" s="3">
        <v>28923915</v>
      </c>
      <c r="C29" s="8">
        <v>0</v>
      </c>
      <c r="D29" s="63">
        <f t="shared" si="11"/>
        <v>28923915</v>
      </c>
      <c r="E29" s="21"/>
      <c r="F29" s="21"/>
      <c r="G29" s="21"/>
      <c r="H29" s="21"/>
      <c r="I29" s="21"/>
      <c r="J29" s="21"/>
      <c r="K29" s="21"/>
      <c r="L29" s="21"/>
      <c r="M29" s="21"/>
      <c r="N29" s="21">
        <v>28923915</v>
      </c>
      <c r="O29" s="8">
        <f>+N29</f>
        <v>28923915</v>
      </c>
      <c r="P29" s="21"/>
      <c r="Q29" s="21">
        <f>+O29</f>
        <v>28923915</v>
      </c>
      <c r="R29" s="6">
        <f t="shared" si="12"/>
        <v>28923915</v>
      </c>
      <c r="S29" s="21">
        <f t="shared" si="13"/>
        <v>0</v>
      </c>
      <c r="T29" s="84">
        <f t="shared" si="14"/>
        <v>100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12.75">
      <c r="A30" s="85" t="s">
        <v>131</v>
      </c>
      <c r="B30" s="3">
        <v>17121088</v>
      </c>
      <c r="C30" s="8">
        <v>0</v>
      </c>
      <c r="D30" s="63">
        <f t="shared" si="11"/>
        <v>17121088</v>
      </c>
      <c r="E30" s="21"/>
      <c r="F30" s="21"/>
      <c r="G30" s="21"/>
      <c r="H30" s="21"/>
      <c r="I30" s="21"/>
      <c r="J30" s="21"/>
      <c r="K30" s="21"/>
      <c r="L30" s="21"/>
      <c r="M30" s="21"/>
      <c r="N30" s="21">
        <f>16841500+279588</f>
        <v>17121088</v>
      </c>
      <c r="O30" s="8">
        <f>+N30</f>
        <v>17121088</v>
      </c>
      <c r="P30" s="3"/>
      <c r="Q30" s="3">
        <f>+O30</f>
        <v>17121088</v>
      </c>
      <c r="R30" s="8">
        <f>16841500+279588</f>
        <v>17121088</v>
      </c>
      <c r="S30" s="21">
        <f t="shared" si="13"/>
        <v>0</v>
      </c>
      <c r="T30" s="84">
        <f t="shared" si="14"/>
        <v>100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2.75">
      <c r="A31" s="83" t="s">
        <v>132</v>
      </c>
      <c r="B31" s="19">
        <f>+B32+B33</f>
        <v>170400000</v>
      </c>
      <c r="C31" s="19">
        <f aca="true" t="shared" si="15" ref="C31:S31">+C32+C33</f>
        <v>0</v>
      </c>
      <c r="D31" s="19">
        <f t="shared" si="15"/>
        <v>170400000</v>
      </c>
      <c r="E31" s="19">
        <f t="shared" si="15"/>
        <v>0</v>
      </c>
      <c r="F31" s="19">
        <f t="shared" si="15"/>
        <v>0</v>
      </c>
      <c r="G31" s="19">
        <f t="shared" si="15"/>
        <v>0</v>
      </c>
      <c r="H31" s="19">
        <f t="shared" si="15"/>
        <v>0</v>
      </c>
      <c r="I31" s="19">
        <f t="shared" si="15"/>
        <v>0</v>
      </c>
      <c r="J31" s="19">
        <f t="shared" si="15"/>
        <v>0</v>
      </c>
      <c r="K31" s="19">
        <f t="shared" si="15"/>
        <v>0</v>
      </c>
      <c r="L31" s="19">
        <f t="shared" si="15"/>
        <v>0</v>
      </c>
      <c r="M31" s="19">
        <f t="shared" si="15"/>
        <v>0</v>
      </c>
      <c r="N31" s="19">
        <f t="shared" si="15"/>
        <v>169267529</v>
      </c>
      <c r="O31" s="19">
        <f t="shared" si="15"/>
        <v>169267529</v>
      </c>
      <c r="P31" s="19">
        <f t="shared" si="15"/>
        <v>0</v>
      </c>
      <c r="Q31" s="19">
        <f t="shared" si="15"/>
        <v>169267529</v>
      </c>
      <c r="R31" s="19">
        <f t="shared" si="15"/>
        <v>169267529</v>
      </c>
      <c r="S31" s="19">
        <f t="shared" si="15"/>
        <v>1132471</v>
      </c>
      <c r="T31" s="84">
        <f t="shared" si="14"/>
        <v>99.335404342723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2.75">
      <c r="A32" s="85" t="s">
        <v>133</v>
      </c>
      <c r="B32" s="3">
        <v>43194474</v>
      </c>
      <c r="C32" s="6">
        <v>0</v>
      </c>
      <c r="D32" s="15">
        <f>+B32+C32</f>
        <v>43194474</v>
      </c>
      <c r="E32" s="21"/>
      <c r="F32" s="21"/>
      <c r="G32" s="21"/>
      <c r="H32" s="21"/>
      <c r="I32" s="21"/>
      <c r="J32" s="21"/>
      <c r="K32" s="21"/>
      <c r="L32" s="21"/>
      <c r="M32" s="21"/>
      <c r="N32" s="21">
        <v>43194474</v>
      </c>
      <c r="O32" s="6">
        <f>+N32</f>
        <v>43194474</v>
      </c>
      <c r="P32" s="21"/>
      <c r="Q32" s="3">
        <f>+O32</f>
        <v>43194474</v>
      </c>
      <c r="R32" s="6">
        <v>43194474</v>
      </c>
      <c r="S32" s="21">
        <f>+D32-O32</f>
        <v>0</v>
      </c>
      <c r="T32" s="84">
        <f t="shared" si="14"/>
        <v>100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2.75">
      <c r="A33" s="85" t="s">
        <v>135</v>
      </c>
      <c r="B33" s="21">
        <v>127205526</v>
      </c>
      <c r="C33" s="6">
        <v>0</v>
      </c>
      <c r="D33" s="63">
        <f>+B33+C33</f>
        <v>127205526</v>
      </c>
      <c r="E33" s="21"/>
      <c r="F33" s="21"/>
      <c r="G33" s="21"/>
      <c r="H33" s="21"/>
      <c r="I33" s="21"/>
      <c r="J33" s="21"/>
      <c r="K33" s="21"/>
      <c r="L33" s="21"/>
      <c r="M33" s="21"/>
      <c r="N33" s="21">
        <f>126978902-905847</f>
        <v>126073055</v>
      </c>
      <c r="O33" s="6">
        <f>+N33</f>
        <v>126073055</v>
      </c>
      <c r="P33" s="21"/>
      <c r="Q33" s="3">
        <f>+O33</f>
        <v>126073055</v>
      </c>
      <c r="R33" s="6">
        <f>+Q33</f>
        <v>126073055</v>
      </c>
      <c r="S33" s="21">
        <f>+D33-O33</f>
        <v>1132471</v>
      </c>
      <c r="T33" s="84">
        <f t="shared" si="14"/>
        <v>99.10973128635938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2.75">
      <c r="A34" s="83" t="s">
        <v>136</v>
      </c>
      <c r="B34" s="19">
        <f>+B35</f>
        <v>23279000</v>
      </c>
      <c r="C34" s="19">
        <f aca="true" t="shared" si="16" ref="C34:S34">+C35</f>
        <v>0</v>
      </c>
      <c r="D34" s="19">
        <f t="shared" si="16"/>
        <v>23279000</v>
      </c>
      <c r="E34" s="19">
        <f t="shared" si="16"/>
        <v>0</v>
      </c>
      <c r="F34" s="19">
        <f t="shared" si="16"/>
        <v>0</v>
      </c>
      <c r="G34" s="19">
        <f t="shared" si="16"/>
        <v>0</v>
      </c>
      <c r="H34" s="19">
        <f t="shared" si="16"/>
        <v>0</v>
      </c>
      <c r="I34" s="19">
        <f t="shared" si="16"/>
        <v>0</v>
      </c>
      <c r="J34" s="19">
        <f t="shared" si="16"/>
        <v>0</v>
      </c>
      <c r="K34" s="19">
        <f t="shared" si="16"/>
        <v>0</v>
      </c>
      <c r="L34" s="19">
        <f t="shared" si="16"/>
        <v>0</v>
      </c>
      <c r="M34" s="19">
        <f t="shared" si="16"/>
        <v>0</v>
      </c>
      <c r="N34" s="19">
        <f t="shared" si="16"/>
        <v>23279000</v>
      </c>
      <c r="O34" s="19">
        <f t="shared" si="16"/>
        <v>23279000</v>
      </c>
      <c r="P34" s="19">
        <f t="shared" si="16"/>
        <v>0</v>
      </c>
      <c r="Q34" s="19">
        <f t="shared" si="16"/>
        <v>23279000</v>
      </c>
      <c r="R34" s="19">
        <f t="shared" si="16"/>
        <v>23279000</v>
      </c>
      <c r="S34" s="19">
        <f t="shared" si="16"/>
        <v>0</v>
      </c>
      <c r="T34" s="84">
        <f t="shared" si="14"/>
        <v>100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ht="25.5">
      <c r="A35" s="86" t="s">
        <v>137</v>
      </c>
      <c r="B35" s="21">
        <v>23279000</v>
      </c>
      <c r="C35" s="6">
        <v>0</v>
      </c>
      <c r="D35" s="63">
        <f>+B35+C35</f>
        <v>23279000</v>
      </c>
      <c r="E35" s="21"/>
      <c r="F35" s="21"/>
      <c r="G35" s="21"/>
      <c r="H35" s="21"/>
      <c r="I35" s="21"/>
      <c r="J35" s="21"/>
      <c r="K35" s="21"/>
      <c r="L35" s="21"/>
      <c r="M35" s="21"/>
      <c r="N35" s="21">
        <v>23279000</v>
      </c>
      <c r="O35" s="6">
        <v>23279000</v>
      </c>
      <c r="P35" s="6"/>
      <c r="Q35" s="6">
        <v>23279000</v>
      </c>
      <c r="R35" s="6">
        <v>23279000</v>
      </c>
      <c r="S35" s="21">
        <f>+D35-O35</f>
        <v>0</v>
      </c>
      <c r="T35" s="84">
        <f t="shared" si="14"/>
        <v>100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25.5">
      <c r="A36" s="87" t="s">
        <v>138</v>
      </c>
      <c r="B36" s="19">
        <f>+B37</f>
        <v>1602000</v>
      </c>
      <c r="C36" s="19">
        <f aca="true" t="shared" si="17" ref="C36:S36">+C37</f>
        <v>0</v>
      </c>
      <c r="D36" s="19">
        <f t="shared" si="17"/>
        <v>1602000</v>
      </c>
      <c r="E36" s="19">
        <f t="shared" si="17"/>
        <v>0</v>
      </c>
      <c r="F36" s="19">
        <f t="shared" si="17"/>
        <v>0</v>
      </c>
      <c r="G36" s="19">
        <f t="shared" si="17"/>
        <v>0</v>
      </c>
      <c r="H36" s="19">
        <f t="shared" si="17"/>
        <v>0</v>
      </c>
      <c r="I36" s="19">
        <f t="shared" si="17"/>
        <v>0</v>
      </c>
      <c r="J36" s="19">
        <f t="shared" si="17"/>
        <v>0</v>
      </c>
      <c r="K36" s="19">
        <f t="shared" si="17"/>
        <v>0</v>
      </c>
      <c r="L36" s="19">
        <f t="shared" si="17"/>
        <v>0</v>
      </c>
      <c r="M36" s="19">
        <f t="shared" si="17"/>
        <v>0</v>
      </c>
      <c r="N36" s="19">
        <f t="shared" si="17"/>
        <v>1602000</v>
      </c>
      <c r="O36" s="19">
        <f t="shared" si="17"/>
        <v>1602000</v>
      </c>
      <c r="P36" s="19">
        <f t="shared" si="17"/>
        <v>0</v>
      </c>
      <c r="Q36" s="19">
        <f t="shared" si="17"/>
        <v>1602000</v>
      </c>
      <c r="R36" s="19">
        <f t="shared" si="17"/>
        <v>1602000</v>
      </c>
      <c r="S36" s="19">
        <f t="shared" si="17"/>
        <v>0</v>
      </c>
      <c r="T36" s="84">
        <f t="shared" si="14"/>
        <v>100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.75">
      <c r="A37" s="86" t="s">
        <v>139</v>
      </c>
      <c r="B37" s="21">
        <f>+B38</f>
        <v>1602000</v>
      </c>
      <c r="C37" s="21">
        <f aca="true" t="shared" si="18" ref="C37:S37">+C38</f>
        <v>0</v>
      </c>
      <c r="D37" s="21">
        <f t="shared" si="18"/>
        <v>1602000</v>
      </c>
      <c r="E37" s="21">
        <f t="shared" si="18"/>
        <v>0</v>
      </c>
      <c r="F37" s="21">
        <f t="shared" si="18"/>
        <v>0</v>
      </c>
      <c r="G37" s="21">
        <f t="shared" si="18"/>
        <v>0</v>
      </c>
      <c r="H37" s="21">
        <f t="shared" si="18"/>
        <v>0</v>
      </c>
      <c r="I37" s="21">
        <f t="shared" si="18"/>
        <v>0</v>
      </c>
      <c r="J37" s="21">
        <f t="shared" si="18"/>
        <v>0</v>
      </c>
      <c r="K37" s="21">
        <f t="shared" si="18"/>
        <v>0</v>
      </c>
      <c r="L37" s="21">
        <f t="shared" si="18"/>
        <v>0</v>
      </c>
      <c r="M37" s="21">
        <f t="shared" si="18"/>
        <v>0</v>
      </c>
      <c r="N37" s="21">
        <f t="shared" si="18"/>
        <v>1602000</v>
      </c>
      <c r="O37" s="21">
        <f t="shared" si="18"/>
        <v>1602000</v>
      </c>
      <c r="P37" s="21">
        <f t="shared" si="18"/>
        <v>0</v>
      </c>
      <c r="Q37" s="21">
        <f t="shared" si="18"/>
        <v>1602000</v>
      </c>
      <c r="R37" s="21">
        <f t="shared" si="18"/>
        <v>1602000</v>
      </c>
      <c r="S37" s="21">
        <f t="shared" si="18"/>
        <v>0</v>
      </c>
      <c r="T37" s="84">
        <f t="shared" si="14"/>
        <v>100</v>
      </c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ht="12.75">
      <c r="A38" s="86" t="s">
        <v>140</v>
      </c>
      <c r="B38" s="21">
        <v>1602000</v>
      </c>
      <c r="C38" s="6">
        <v>0</v>
      </c>
      <c r="D38" s="63">
        <f>+B38+C38</f>
        <v>1602000</v>
      </c>
      <c r="E38" s="21"/>
      <c r="F38" s="21"/>
      <c r="G38" s="21"/>
      <c r="H38" s="21"/>
      <c r="I38" s="21"/>
      <c r="J38" s="21"/>
      <c r="K38" s="21"/>
      <c r="L38" s="21"/>
      <c r="M38" s="21"/>
      <c r="N38" s="21">
        <v>1602000</v>
      </c>
      <c r="O38" s="6">
        <v>1602000</v>
      </c>
      <c r="P38" s="6"/>
      <c r="Q38" s="6">
        <v>1602000</v>
      </c>
      <c r="R38" s="6">
        <v>1602000</v>
      </c>
      <c r="S38" s="21">
        <f>+D38-O38</f>
        <v>0</v>
      </c>
      <c r="T38" s="84">
        <f t="shared" si="14"/>
        <v>100</v>
      </c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12.75">
      <c r="A39" s="87" t="s">
        <v>141</v>
      </c>
      <c r="B39" s="19">
        <f>+B40</f>
        <v>11515000</v>
      </c>
      <c r="C39" s="19">
        <f aca="true" t="shared" si="19" ref="C39:S39">+C40</f>
        <v>0</v>
      </c>
      <c r="D39" s="19">
        <f t="shared" si="19"/>
        <v>11515000</v>
      </c>
      <c r="E39" s="19">
        <f t="shared" si="19"/>
        <v>0</v>
      </c>
      <c r="F39" s="19">
        <f t="shared" si="19"/>
        <v>0</v>
      </c>
      <c r="G39" s="19">
        <f t="shared" si="19"/>
        <v>0</v>
      </c>
      <c r="H39" s="19">
        <f t="shared" si="19"/>
        <v>0</v>
      </c>
      <c r="I39" s="19">
        <f t="shared" si="19"/>
        <v>0</v>
      </c>
      <c r="J39" s="19">
        <f t="shared" si="19"/>
        <v>0</v>
      </c>
      <c r="K39" s="19">
        <f t="shared" si="19"/>
        <v>0</v>
      </c>
      <c r="L39" s="19">
        <f t="shared" si="19"/>
        <v>0</v>
      </c>
      <c r="M39" s="19">
        <f t="shared" si="19"/>
        <v>0</v>
      </c>
      <c r="N39" s="19">
        <f t="shared" si="19"/>
        <v>11515000</v>
      </c>
      <c r="O39" s="19">
        <f t="shared" si="19"/>
        <v>11515000</v>
      </c>
      <c r="P39" s="19">
        <f t="shared" si="19"/>
        <v>0</v>
      </c>
      <c r="Q39" s="19">
        <f t="shared" si="19"/>
        <v>11515000</v>
      </c>
      <c r="R39" s="19">
        <f t="shared" si="19"/>
        <v>11515000</v>
      </c>
      <c r="S39" s="19">
        <f t="shared" si="19"/>
        <v>0</v>
      </c>
      <c r="T39" s="84">
        <f t="shared" si="14"/>
        <v>100</v>
      </c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3.5" thickBot="1">
      <c r="A40" s="88" t="s">
        <v>142</v>
      </c>
      <c r="B40" s="89">
        <v>11515000</v>
      </c>
      <c r="C40" s="90">
        <v>0</v>
      </c>
      <c r="D40" s="91">
        <f>+B40+C40</f>
        <v>11515000</v>
      </c>
      <c r="E40" s="89"/>
      <c r="F40" s="89"/>
      <c r="G40" s="89"/>
      <c r="H40" s="89"/>
      <c r="I40" s="89"/>
      <c r="J40" s="89"/>
      <c r="K40" s="89"/>
      <c r="L40" s="89"/>
      <c r="M40" s="89"/>
      <c r="N40" s="89">
        <v>11515000</v>
      </c>
      <c r="O40" s="90">
        <f>+N40</f>
        <v>11515000</v>
      </c>
      <c r="P40" s="90"/>
      <c r="Q40" s="90">
        <f>+O40</f>
        <v>11515000</v>
      </c>
      <c r="R40" s="90">
        <f>+Q40</f>
        <v>11515000</v>
      </c>
      <c r="S40" s="89">
        <f>+D40-O40</f>
        <v>0</v>
      </c>
      <c r="T40" s="84">
        <f t="shared" si="14"/>
        <v>100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2.75">
      <c r="A41" s="37"/>
      <c r="B41" s="37"/>
      <c r="C41" s="31"/>
      <c r="D41" s="68"/>
      <c r="E41" s="56"/>
      <c r="F41" s="56"/>
      <c r="G41" s="56"/>
      <c r="H41" s="69"/>
      <c r="I41" s="57"/>
      <c r="J41" s="57"/>
      <c r="K41" s="57"/>
      <c r="L41" s="57"/>
      <c r="M41" s="57"/>
      <c r="N41" s="57"/>
      <c r="O41" s="56"/>
      <c r="P41" s="57"/>
      <c r="Q41" s="57"/>
      <c r="R41" s="66"/>
      <c r="S41" s="57"/>
      <c r="T41" s="57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2.75">
      <c r="A42" s="37"/>
      <c r="B42" s="37"/>
      <c r="C42" s="31"/>
      <c r="D42" s="68"/>
      <c r="E42" s="56"/>
      <c r="F42" s="56"/>
      <c r="G42" s="56"/>
      <c r="H42" s="69"/>
      <c r="I42" s="57"/>
      <c r="J42" s="57"/>
      <c r="K42" s="57"/>
      <c r="L42" s="57"/>
      <c r="M42" s="57"/>
      <c r="N42" s="57"/>
      <c r="O42" s="56"/>
      <c r="P42" s="57"/>
      <c r="Q42" s="57"/>
      <c r="R42" s="66"/>
      <c r="S42" s="57"/>
      <c r="T42" s="57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2.75">
      <c r="A43" s="37"/>
      <c r="B43" s="37"/>
      <c r="C43" s="31"/>
      <c r="D43" s="68"/>
      <c r="E43" s="56"/>
      <c r="F43" s="56"/>
      <c r="G43" s="56"/>
      <c r="H43" s="69"/>
      <c r="I43" s="57"/>
      <c r="J43" s="57"/>
      <c r="K43" s="57"/>
      <c r="L43" s="57"/>
      <c r="M43" s="57"/>
      <c r="N43" s="57"/>
      <c r="O43" s="56"/>
      <c r="P43" s="57"/>
      <c r="Q43" s="57"/>
      <c r="R43" s="66"/>
      <c r="S43" s="57"/>
      <c r="T43" s="57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2.75">
      <c r="A44" s="37"/>
      <c r="B44" s="37"/>
      <c r="C44" s="31"/>
      <c r="D44" s="68"/>
      <c r="E44" s="56"/>
      <c r="F44" s="56"/>
      <c r="G44" s="56"/>
      <c r="H44" s="69"/>
      <c r="I44" s="57"/>
      <c r="J44" s="57"/>
      <c r="K44" s="57"/>
      <c r="L44" s="57"/>
      <c r="M44" s="57"/>
      <c r="N44" s="57"/>
      <c r="O44" s="56"/>
      <c r="P44" s="57"/>
      <c r="Q44" s="57"/>
      <c r="R44" s="66"/>
      <c r="S44" s="57"/>
      <c r="T44" s="57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12.75">
      <c r="A45" s="37"/>
      <c r="B45" s="37"/>
      <c r="C45" s="31"/>
      <c r="D45" s="68"/>
      <c r="E45" s="56"/>
      <c r="F45" s="56"/>
      <c r="G45" s="56"/>
      <c r="H45" s="69"/>
      <c r="I45" s="57"/>
      <c r="J45" s="57"/>
      <c r="K45" s="57"/>
      <c r="L45" s="57"/>
      <c r="M45" s="57"/>
      <c r="N45" s="57"/>
      <c r="O45" s="56"/>
      <c r="P45" s="57"/>
      <c r="Q45" s="57"/>
      <c r="R45" s="66"/>
      <c r="S45" s="57"/>
      <c r="T45" s="57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12.75">
      <c r="A46" s="37"/>
      <c r="B46" s="37"/>
      <c r="C46" s="31"/>
      <c r="D46" s="68"/>
      <c r="E46" s="56"/>
      <c r="F46" s="56"/>
      <c r="G46" s="56"/>
      <c r="H46" s="69"/>
      <c r="I46" s="57"/>
      <c r="J46" s="57"/>
      <c r="K46" s="57"/>
      <c r="L46" s="57"/>
      <c r="M46" s="57"/>
      <c r="N46" s="57"/>
      <c r="O46" s="56"/>
      <c r="P46" s="57"/>
      <c r="Q46" s="57"/>
      <c r="R46" s="66"/>
      <c r="S46" s="57"/>
      <c r="T46" s="57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12.75">
      <c r="A47" s="37"/>
      <c r="B47" s="37"/>
      <c r="C47" s="31"/>
      <c r="D47" s="68"/>
      <c r="E47" s="56"/>
      <c r="F47" s="56"/>
      <c r="G47" s="56"/>
      <c r="H47" s="69"/>
      <c r="I47" s="57"/>
      <c r="J47" s="57"/>
      <c r="K47" s="57"/>
      <c r="L47" s="57"/>
      <c r="M47" s="57"/>
      <c r="N47" s="57"/>
      <c r="O47" s="56"/>
      <c r="P47" s="57"/>
      <c r="Q47" s="57"/>
      <c r="R47" s="66"/>
      <c r="S47" s="57"/>
      <c r="T47" s="57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12.75">
      <c r="A48" s="37"/>
      <c r="B48" s="37"/>
      <c r="C48" s="31"/>
      <c r="D48" s="68"/>
      <c r="E48" s="56"/>
      <c r="F48" s="56"/>
      <c r="G48" s="56"/>
      <c r="H48" s="69"/>
      <c r="I48" s="57"/>
      <c r="J48" s="57"/>
      <c r="K48" s="57"/>
      <c r="L48" s="57"/>
      <c r="M48" s="57"/>
      <c r="N48" s="57"/>
      <c r="O48" s="56"/>
      <c r="P48" s="57"/>
      <c r="Q48" s="57"/>
      <c r="R48" s="66"/>
      <c r="S48" s="57"/>
      <c r="T48" s="57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2.75">
      <c r="A49" s="37"/>
      <c r="B49" s="37" t="s">
        <v>0</v>
      </c>
      <c r="C49" s="31"/>
      <c r="D49" s="37"/>
      <c r="E49" s="56"/>
      <c r="F49" s="56"/>
      <c r="G49" s="56"/>
      <c r="H49" s="69"/>
      <c r="I49" s="57"/>
      <c r="J49" s="57"/>
      <c r="K49" s="57"/>
      <c r="L49" s="57"/>
      <c r="M49" s="57"/>
      <c r="N49" s="57"/>
      <c r="O49" s="31" t="s">
        <v>0</v>
      </c>
      <c r="P49" s="57"/>
      <c r="Q49" s="37" t="s">
        <v>0</v>
      </c>
      <c r="R49" s="66"/>
      <c r="S49" s="57" t="s">
        <v>9</v>
      </c>
      <c r="T49" s="57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13.5" thickBot="1">
      <c r="A50" s="14"/>
      <c r="B50" s="22" t="s">
        <v>0</v>
      </c>
      <c r="C50" s="35" t="s">
        <v>0</v>
      </c>
      <c r="D50" s="61"/>
      <c r="E50" s="14"/>
      <c r="F50" s="14"/>
      <c r="G50" s="14"/>
      <c r="H50" s="70"/>
      <c r="I50" s="14"/>
      <c r="J50" s="14"/>
      <c r="K50" s="14"/>
      <c r="L50" s="14"/>
      <c r="M50" s="14"/>
      <c r="N50" s="22"/>
      <c r="O50" s="30" t="s">
        <v>0</v>
      </c>
      <c r="P50" s="14"/>
      <c r="Q50" s="22" t="s">
        <v>0</v>
      </c>
      <c r="R50" s="35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2.75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2.75">
      <c r="A52" s="103" t="s">
        <v>113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5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2.75">
      <c r="A53" s="103" t="s">
        <v>184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5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12.75">
      <c r="A54" s="83"/>
      <c r="B54" s="21"/>
      <c r="C54" s="6"/>
      <c r="D54" s="63" t="s">
        <v>0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6"/>
      <c r="P54" s="21"/>
      <c r="Q54" s="21"/>
      <c r="R54" s="6"/>
      <c r="S54" s="21"/>
      <c r="T54" s="8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2.75">
      <c r="A55" s="85"/>
      <c r="B55" s="21"/>
      <c r="C55" s="20" t="s">
        <v>0</v>
      </c>
      <c r="D55" s="63"/>
      <c r="E55" s="67" t="s">
        <v>0</v>
      </c>
      <c r="F55" s="67"/>
      <c r="G55" s="9" t="s">
        <v>11</v>
      </c>
      <c r="H55" s="9" t="s">
        <v>19</v>
      </c>
      <c r="I55" s="19" t="s">
        <v>40</v>
      </c>
      <c r="J55" s="21"/>
      <c r="K55" s="21"/>
      <c r="L55" s="21"/>
      <c r="M55" s="21"/>
      <c r="N55" s="21"/>
      <c r="O55" s="6"/>
      <c r="P55" s="21"/>
      <c r="Q55" s="21"/>
      <c r="R55" s="6"/>
      <c r="S55" s="21"/>
      <c r="T55" s="8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2.75">
      <c r="A56" s="85"/>
      <c r="B56" s="67" t="s">
        <v>2</v>
      </c>
      <c r="C56" s="9" t="s">
        <v>1</v>
      </c>
      <c r="D56" s="62" t="s">
        <v>2</v>
      </c>
      <c r="E56" s="9" t="s">
        <v>39</v>
      </c>
      <c r="F56" s="71" t="s">
        <v>10</v>
      </c>
      <c r="G56" s="9" t="s">
        <v>12</v>
      </c>
      <c r="H56" s="67" t="s">
        <v>39</v>
      </c>
      <c r="I56" s="19" t="s">
        <v>10</v>
      </c>
      <c r="J56" s="71"/>
      <c r="K56" s="21"/>
      <c r="L56" s="21"/>
      <c r="M56" s="21"/>
      <c r="N56" s="67" t="s">
        <v>39</v>
      </c>
      <c r="O56" s="9" t="s">
        <v>10</v>
      </c>
      <c r="P56" s="67" t="s">
        <v>43</v>
      </c>
      <c r="Q56" s="67" t="s">
        <v>111</v>
      </c>
      <c r="R56" s="9" t="s">
        <v>43</v>
      </c>
      <c r="S56" s="67" t="s">
        <v>110</v>
      </c>
      <c r="T56" s="93" t="s">
        <v>38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2.75">
      <c r="A57" s="92" t="s">
        <v>5</v>
      </c>
      <c r="B57" s="67" t="s">
        <v>3</v>
      </c>
      <c r="C57" s="9" t="s">
        <v>6</v>
      </c>
      <c r="D57" s="62" t="s">
        <v>4</v>
      </c>
      <c r="E57" s="9" t="s">
        <v>0</v>
      </c>
      <c r="F57" s="15"/>
      <c r="G57" s="6"/>
      <c r="H57" s="6"/>
      <c r="I57" s="8"/>
      <c r="J57" s="8"/>
      <c r="K57" s="21"/>
      <c r="L57" s="21"/>
      <c r="M57" s="21"/>
      <c r="N57" s="21"/>
      <c r="O57" s="9"/>
      <c r="P57" s="67"/>
      <c r="Q57" s="67"/>
      <c r="R57" s="9"/>
      <c r="S57" s="67" t="s">
        <v>42</v>
      </c>
      <c r="T57" s="93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2.75">
      <c r="A58" s="92"/>
      <c r="B58" s="67"/>
      <c r="C58" s="9"/>
      <c r="D58" s="62"/>
      <c r="E58" s="9"/>
      <c r="F58" s="15"/>
      <c r="G58" s="6"/>
      <c r="H58" s="6"/>
      <c r="I58" s="8"/>
      <c r="J58" s="8"/>
      <c r="K58" s="21"/>
      <c r="L58" s="21"/>
      <c r="M58" s="21"/>
      <c r="N58" s="21"/>
      <c r="O58" s="9"/>
      <c r="P58" s="67"/>
      <c r="Q58" s="67"/>
      <c r="R58" s="9"/>
      <c r="S58" s="67"/>
      <c r="T58" s="93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12.75">
      <c r="A59" s="85"/>
      <c r="B59" s="67"/>
      <c r="C59" s="9" t="s">
        <v>0</v>
      </c>
      <c r="D59" s="62"/>
      <c r="E59" s="9"/>
      <c r="F59" s="9"/>
      <c r="G59" s="6"/>
      <c r="H59" s="8"/>
      <c r="I59" s="8"/>
      <c r="J59" s="8"/>
      <c r="K59" s="21"/>
      <c r="L59" s="21"/>
      <c r="M59" s="21"/>
      <c r="N59" s="21"/>
      <c r="O59" s="8"/>
      <c r="P59" s="21"/>
      <c r="Q59" s="21"/>
      <c r="R59" s="6"/>
      <c r="S59" s="21"/>
      <c r="T59" s="8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2.75">
      <c r="A60" s="85"/>
      <c r="B60" s="3"/>
      <c r="C60" s="8"/>
      <c r="D60" s="15"/>
      <c r="E60" s="6"/>
      <c r="F60" s="8"/>
      <c r="G60" s="6"/>
      <c r="H60" s="8"/>
      <c r="I60" s="8"/>
      <c r="J60" s="6"/>
      <c r="K60" s="21"/>
      <c r="L60" s="21"/>
      <c r="M60" s="21"/>
      <c r="N60" s="21"/>
      <c r="O60" s="8"/>
      <c r="P60" s="21"/>
      <c r="Q60" s="21"/>
      <c r="R60" s="8"/>
      <c r="S60" s="21"/>
      <c r="T60" s="8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2.75">
      <c r="A61" s="83" t="s">
        <v>20</v>
      </c>
      <c r="B61" s="75">
        <f>+B62+B109+B130+B140</f>
        <v>6219268811</v>
      </c>
      <c r="C61" s="75">
        <f aca="true" t="shared" si="20" ref="C61:P61">+C62+C109+C130+C140</f>
        <v>650093556</v>
      </c>
      <c r="D61" s="75">
        <f>+D62+D109+D130+D140-1</f>
        <v>6865822366</v>
      </c>
      <c r="E61" s="75" t="e">
        <f t="shared" si="20"/>
        <v>#VALUE!</v>
      </c>
      <c r="F61" s="75">
        <f t="shared" si="20"/>
        <v>236541033</v>
      </c>
      <c r="G61" s="75">
        <f t="shared" si="20"/>
        <v>34153307</v>
      </c>
      <c r="H61" s="75" t="e">
        <f t="shared" si="20"/>
        <v>#VALUE!</v>
      </c>
      <c r="I61" s="75">
        <f t="shared" si="20"/>
        <v>2864.27689334737</v>
      </c>
      <c r="J61" s="75">
        <f t="shared" si="20"/>
        <v>0</v>
      </c>
      <c r="K61" s="75">
        <f t="shared" si="20"/>
        <v>0</v>
      </c>
      <c r="L61" s="75">
        <f t="shared" si="20"/>
        <v>0</v>
      </c>
      <c r="M61" s="75">
        <f t="shared" si="20"/>
        <v>0</v>
      </c>
      <c r="N61" s="75">
        <f t="shared" si="20"/>
        <v>6329015558</v>
      </c>
      <c r="O61" s="75">
        <f t="shared" si="20"/>
        <v>6329015558</v>
      </c>
      <c r="P61" s="75">
        <f t="shared" si="20"/>
        <v>120705496</v>
      </c>
      <c r="Q61" s="75">
        <f>+Q62+Q109+Q130+Q140</f>
        <v>5974976311</v>
      </c>
      <c r="R61" s="75">
        <f>+R62+R109+R130+R140</f>
        <v>5515235578</v>
      </c>
      <c r="S61" s="75">
        <f>+S62+S109+S130+S140</f>
        <v>536806809</v>
      </c>
      <c r="T61" s="84">
        <f aca="true" t="shared" si="21" ref="T61:T104">+O61/D61*100</f>
        <v>92.18146378708686</v>
      </c>
      <c r="U61" s="22" t="s">
        <v>0</v>
      </c>
      <c r="V61" s="1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</row>
    <row r="62" spans="1:40" ht="12.75">
      <c r="A62" s="83" t="s">
        <v>7</v>
      </c>
      <c r="B62" s="19">
        <f>+B63+B85</f>
        <v>509780883</v>
      </c>
      <c r="C62" s="19">
        <f aca="true" t="shared" si="22" ref="C62:P62">+C63+C85</f>
        <v>21600000</v>
      </c>
      <c r="D62" s="19">
        <f t="shared" si="22"/>
        <v>531380883</v>
      </c>
      <c r="E62" s="19" t="e">
        <f t="shared" si="22"/>
        <v>#VALUE!</v>
      </c>
      <c r="F62" s="19">
        <f t="shared" si="22"/>
        <v>236541033</v>
      </c>
      <c r="G62" s="19">
        <f t="shared" si="22"/>
        <v>34153307</v>
      </c>
      <c r="H62" s="19" t="e">
        <f t="shared" si="22"/>
        <v>#VALUE!</v>
      </c>
      <c r="I62" s="19">
        <f t="shared" si="22"/>
        <v>2864.27689334737</v>
      </c>
      <c r="J62" s="19">
        <f t="shared" si="22"/>
        <v>0</v>
      </c>
      <c r="K62" s="19">
        <f t="shared" si="22"/>
        <v>0</v>
      </c>
      <c r="L62" s="19">
        <f t="shared" si="22"/>
        <v>0</v>
      </c>
      <c r="M62" s="19">
        <f t="shared" si="22"/>
        <v>0</v>
      </c>
      <c r="N62" s="19">
        <f>+N63+N85</f>
        <v>341135918</v>
      </c>
      <c r="O62" s="19">
        <f t="shared" si="22"/>
        <v>341135918</v>
      </c>
      <c r="P62" s="19">
        <f t="shared" si="22"/>
        <v>120705496</v>
      </c>
      <c r="Q62" s="19">
        <f>+Q63+Q85</f>
        <v>341135918</v>
      </c>
      <c r="R62" s="19">
        <f>+R63+R85</f>
        <v>323782880</v>
      </c>
      <c r="S62" s="19">
        <f>+S63+S85</f>
        <v>190244965</v>
      </c>
      <c r="T62" s="84">
        <f t="shared" si="21"/>
        <v>64.19800352509107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0" ht="12.75">
      <c r="A63" s="81" t="s">
        <v>114</v>
      </c>
      <c r="B63" s="21">
        <f>+B64+B69+B77</f>
        <v>484704292</v>
      </c>
      <c r="C63" s="21">
        <f aca="true" t="shared" si="23" ref="C63:R63">+C64+C69+C77</f>
        <v>0</v>
      </c>
      <c r="D63" s="21">
        <f>+D64+D69+D77</f>
        <v>484704292</v>
      </c>
      <c r="E63" s="21" t="e">
        <f t="shared" si="23"/>
        <v>#VALUE!</v>
      </c>
      <c r="F63" s="21">
        <f t="shared" si="23"/>
        <v>190648202</v>
      </c>
      <c r="G63" s="21">
        <f t="shared" si="23"/>
        <v>66089272</v>
      </c>
      <c r="H63" s="21" t="e">
        <f t="shared" si="23"/>
        <v>#VALUE!</v>
      </c>
      <c r="I63" s="21">
        <f t="shared" si="23"/>
        <v>508.81709771876433</v>
      </c>
      <c r="J63" s="21">
        <f t="shared" si="23"/>
        <v>0</v>
      </c>
      <c r="K63" s="21">
        <f t="shared" si="23"/>
        <v>0</v>
      </c>
      <c r="L63" s="21">
        <f t="shared" si="23"/>
        <v>0</v>
      </c>
      <c r="M63" s="21">
        <f t="shared" si="23"/>
        <v>0</v>
      </c>
      <c r="N63" s="21">
        <f t="shared" si="23"/>
        <v>302537008</v>
      </c>
      <c r="O63" s="21">
        <f t="shared" si="23"/>
        <v>302537008</v>
      </c>
      <c r="P63" s="21">
        <f t="shared" si="23"/>
        <v>112518707</v>
      </c>
      <c r="Q63" s="21">
        <f t="shared" si="23"/>
        <v>302537008</v>
      </c>
      <c r="R63" s="21">
        <f t="shared" si="23"/>
        <v>285183970</v>
      </c>
      <c r="S63" s="21">
        <f>+S64+S69+S77</f>
        <v>182167284</v>
      </c>
      <c r="T63" s="84">
        <f t="shared" si="21"/>
        <v>62.41682052198539</v>
      </c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2.75">
      <c r="A64" s="81" t="s">
        <v>115</v>
      </c>
      <c r="B64" s="21">
        <f>+B65</f>
        <v>28324238</v>
      </c>
      <c r="C64" s="21">
        <f aca="true" t="shared" si="24" ref="C64:R65">+C65</f>
        <v>0</v>
      </c>
      <c r="D64" s="21">
        <f t="shared" si="24"/>
        <v>28324238</v>
      </c>
      <c r="E64" s="21">
        <f t="shared" si="24"/>
        <v>39833700</v>
      </c>
      <c r="F64" s="21">
        <f t="shared" si="24"/>
        <v>39833700</v>
      </c>
      <c r="G64" s="21">
        <f t="shared" si="24"/>
        <v>-11509462</v>
      </c>
      <c r="H64" s="21">
        <f t="shared" si="24"/>
        <v>308.81709771876433</v>
      </c>
      <c r="I64" s="21">
        <f t="shared" si="24"/>
        <v>308.81709771876433</v>
      </c>
      <c r="J64" s="21">
        <f t="shared" si="24"/>
        <v>0</v>
      </c>
      <c r="K64" s="21">
        <f t="shared" si="24"/>
        <v>0</v>
      </c>
      <c r="L64" s="21">
        <f t="shared" si="24"/>
        <v>0</v>
      </c>
      <c r="M64" s="21">
        <f t="shared" si="24"/>
        <v>0</v>
      </c>
      <c r="N64" s="21">
        <f t="shared" si="24"/>
        <v>14388438</v>
      </c>
      <c r="O64" s="21">
        <f t="shared" si="24"/>
        <v>14388438</v>
      </c>
      <c r="P64" s="21">
        <f t="shared" si="24"/>
        <v>14388438</v>
      </c>
      <c r="Q64" s="21">
        <f t="shared" si="24"/>
        <v>14388438</v>
      </c>
      <c r="R64" s="21">
        <f t="shared" si="24"/>
        <v>14388438</v>
      </c>
      <c r="S64" s="21">
        <f>+S65</f>
        <v>13935800</v>
      </c>
      <c r="T64" s="84">
        <f t="shared" si="21"/>
        <v>50.79902943902675</v>
      </c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12.75">
      <c r="A65" s="83" t="s">
        <v>116</v>
      </c>
      <c r="B65" s="75">
        <f>+B66</f>
        <v>28324238</v>
      </c>
      <c r="C65" s="75">
        <f t="shared" si="24"/>
        <v>0</v>
      </c>
      <c r="D65" s="75">
        <f t="shared" si="24"/>
        <v>28324238</v>
      </c>
      <c r="E65" s="75">
        <f t="shared" si="24"/>
        <v>39833700</v>
      </c>
      <c r="F65" s="75">
        <f t="shared" si="24"/>
        <v>39833700</v>
      </c>
      <c r="G65" s="75">
        <f t="shared" si="24"/>
        <v>-11509462</v>
      </c>
      <c r="H65" s="75">
        <f t="shared" si="24"/>
        <v>308.81709771876433</v>
      </c>
      <c r="I65" s="75">
        <f t="shared" si="24"/>
        <v>308.81709771876433</v>
      </c>
      <c r="J65" s="75">
        <f t="shared" si="24"/>
        <v>0</v>
      </c>
      <c r="K65" s="75">
        <f t="shared" si="24"/>
        <v>0</v>
      </c>
      <c r="L65" s="75">
        <f t="shared" si="24"/>
        <v>0</v>
      </c>
      <c r="M65" s="75">
        <f t="shared" si="24"/>
        <v>0</v>
      </c>
      <c r="N65" s="75">
        <f t="shared" si="24"/>
        <v>14388438</v>
      </c>
      <c r="O65" s="75">
        <f t="shared" si="24"/>
        <v>14388438</v>
      </c>
      <c r="P65" s="75">
        <f t="shared" si="24"/>
        <v>14388438</v>
      </c>
      <c r="Q65" s="75">
        <f t="shared" si="24"/>
        <v>14388438</v>
      </c>
      <c r="R65" s="75">
        <f t="shared" si="24"/>
        <v>14388438</v>
      </c>
      <c r="S65" s="75">
        <f>+S66</f>
        <v>13935800</v>
      </c>
      <c r="T65" s="84">
        <f t="shared" si="21"/>
        <v>50.79902943902675</v>
      </c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</row>
    <row r="66" spans="1:40" ht="12.75">
      <c r="A66" s="83" t="s">
        <v>121</v>
      </c>
      <c r="B66" s="19">
        <f>+B67+B68</f>
        <v>28324238</v>
      </c>
      <c r="C66" s="19">
        <f aca="true" t="shared" si="25" ref="C66:Q66">+C67+C68</f>
        <v>0</v>
      </c>
      <c r="D66" s="19">
        <f t="shared" si="25"/>
        <v>28324238</v>
      </c>
      <c r="E66" s="19">
        <f t="shared" si="25"/>
        <v>39833700</v>
      </c>
      <c r="F66" s="19">
        <f t="shared" si="25"/>
        <v>39833700</v>
      </c>
      <c r="G66" s="19">
        <f t="shared" si="25"/>
        <v>-11509462</v>
      </c>
      <c r="H66" s="19">
        <f t="shared" si="25"/>
        <v>308.81709771876433</v>
      </c>
      <c r="I66" s="19">
        <f t="shared" si="25"/>
        <v>308.81709771876433</v>
      </c>
      <c r="J66" s="19">
        <f t="shared" si="25"/>
        <v>0</v>
      </c>
      <c r="K66" s="19">
        <f t="shared" si="25"/>
        <v>0</v>
      </c>
      <c r="L66" s="19">
        <f t="shared" si="25"/>
        <v>0</v>
      </c>
      <c r="M66" s="19">
        <f t="shared" si="25"/>
        <v>0</v>
      </c>
      <c r="N66" s="19">
        <f>+N67+N68</f>
        <v>14388438</v>
      </c>
      <c r="O66" s="19">
        <f t="shared" si="25"/>
        <v>14388438</v>
      </c>
      <c r="P66" s="19">
        <f t="shared" si="25"/>
        <v>14388438</v>
      </c>
      <c r="Q66" s="19">
        <f t="shared" si="25"/>
        <v>14388438</v>
      </c>
      <c r="R66" s="19">
        <f>+R67+R68</f>
        <v>14388438</v>
      </c>
      <c r="S66" s="19">
        <f>+S67+S68</f>
        <v>13935800</v>
      </c>
      <c r="T66" s="84">
        <f t="shared" si="21"/>
        <v>50.79902943902675</v>
      </c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</row>
    <row r="67" spans="1:40" ht="12.75">
      <c r="A67" s="85" t="s">
        <v>122</v>
      </c>
      <c r="B67" s="21">
        <v>19176236</v>
      </c>
      <c r="C67" s="6">
        <v>0</v>
      </c>
      <c r="D67" s="63">
        <f>+B67+C67</f>
        <v>19176236</v>
      </c>
      <c r="E67" s="20">
        <v>22149500</v>
      </c>
      <c r="F67" s="20">
        <v>22149500</v>
      </c>
      <c r="G67" s="6">
        <f aca="true" t="shared" si="26" ref="G67:G73">+D67-E67</f>
        <v>-2973264</v>
      </c>
      <c r="H67" s="20">
        <f aca="true" t="shared" si="27" ref="H67:H73">+E67/D67*100</f>
        <v>115.50494059418126</v>
      </c>
      <c r="I67" s="20">
        <f aca="true" t="shared" si="28" ref="I67:I73">+F67/D67*100</f>
        <v>115.50494059418126</v>
      </c>
      <c r="J67" s="6"/>
      <c r="K67" s="21"/>
      <c r="L67" s="21"/>
      <c r="M67" s="21"/>
      <c r="N67" s="21">
        <v>13975126</v>
      </c>
      <c r="O67" s="6">
        <f>+N67</f>
        <v>13975126</v>
      </c>
      <c r="P67" s="21">
        <f>+O67</f>
        <v>13975126</v>
      </c>
      <c r="Q67" s="6">
        <f>+O67</f>
        <v>13975126</v>
      </c>
      <c r="R67" s="6">
        <f>+Q67</f>
        <v>13975126</v>
      </c>
      <c r="S67" s="21">
        <f>+D67-O67</f>
        <v>5201110</v>
      </c>
      <c r="T67" s="84">
        <f t="shared" si="21"/>
        <v>72.8773154439693</v>
      </c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ht="12.75">
      <c r="A68" s="85" t="s">
        <v>123</v>
      </c>
      <c r="B68" s="21">
        <f>6922650+2225352</f>
        <v>9148002</v>
      </c>
      <c r="C68" s="6">
        <v>0</v>
      </c>
      <c r="D68" s="63">
        <f>+B68+C68</f>
        <v>9148002</v>
      </c>
      <c r="E68" s="20">
        <v>17684200</v>
      </c>
      <c r="F68" s="20">
        <v>17684200</v>
      </c>
      <c r="G68" s="6">
        <f t="shared" si="26"/>
        <v>-8536198</v>
      </c>
      <c r="H68" s="20">
        <f t="shared" si="27"/>
        <v>193.31215712458305</v>
      </c>
      <c r="I68" s="20">
        <f t="shared" si="28"/>
        <v>193.31215712458305</v>
      </c>
      <c r="J68" s="6"/>
      <c r="K68" s="21"/>
      <c r="L68" s="21"/>
      <c r="M68" s="21"/>
      <c r="N68" s="21">
        <f>404196+9116</f>
        <v>413312</v>
      </c>
      <c r="O68" s="8">
        <f>+N68</f>
        <v>413312</v>
      </c>
      <c r="P68" s="21">
        <f>+O68</f>
        <v>413312</v>
      </c>
      <c r="Q68" s="6">
        <f>+O68</f>
        <v>413312</v>
      </c>
      <c r="R68" s="6">
        <f>+Q68</f>
        <v>413312</v>
      </c>
      <c r="S68" s="21">
        <f>+D68-O68</f>
        <v>8734690</v>
      </c>
      <c r="T68" s="84">
        <f t="shared" si="21"/>
        <v>4.518057604272496</v>
      </c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12.75">
      <c r="A69" s="83" t="s">
        <v>124</v>
      </c>
      <c r="B69" s="75">
        <f>+B70+B71+B72+B73+B74+B75+B76</f>
        <v>288640472</v>
      </c>
      <c r="C69" s="75">
        <f aca="true" t="shared" si="29" ref="C69:R69">+C70+C71+C72+C73+C74+C75+C76</f>
        <v>0</v>
      </c>
      <c r="D69" s="75">
        <f t="shared" si="29"/>
        <v>288640472</v>
      </c>
      <c r="E69" s="75" t="e">
        <f t="shared" si="29"/>
        <v>#VALUE!</v>
      </c>
      <c r="F69" s="75">
        <f t="shared" si="29"/>
        <v>150814502</v>
      </c>
      <c r="G69" s="75">
        <f t="shared" si="29"/>
        <v>77598734</v>
      </c>
      <c r="H69" s="75" t="e">
        <f t="shared" si="29"/>
        <v>#VALUE!</v>
      </c>
      <c r="I69" s="75">
        <f t="shared" si="29"/>
        <v>200</v>
      </c>
      <c r="J69" s="75">
        <f t="shared" si="29"/>
        <v>0</v>
      </c>
      <c r="K69" s="75">
        <f t="shared" si="29"/>
        <v>0</v>
      </c>
      <c r="L69" s="75">
        <f t="shared" si="29"/>
        <v>0</v>
      </c>
      <c r="M69" s="75">
        <f t="shared" si="29"/>
        <v>0</v>
      </c>
      <c r="N69" s="75">
        <f>+N70+N71+N72+N73+N74+N75+N76</f>
        <v>183727052</v>
      </c>
      <c r="O69" s="75">
        <f t="shared" si="29"/>
        <v>183727052</v>
      </c>
      <c r="P69" s="75">
        <f t="shared" si="29"/>
        <v>98130269</v>
      </c>
      <c r="Q69" s="75">
        <f t="shared" si="29"/>
        <v>183727052</v>
      </c>
      <c r="R69" s="75">
        <f t="shared" si="29"/>
        <v>166374014</v>
      </c>
      <c r="S69" s="75">
        <f>+S70+S71+S72+S73+S74+S75+S76</f>
        <v>104913420</v>
      </c>
      <c r="T69" s="84">
        <f t="shared" si="21"/>
        <v>63.65256082314056</v>
      </c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ht="12.75">
      <c r="A70" s="85" t="s">
        <v>125</v>
      </c>
      <c r="B70" s="21">
        <f>1152210+59746942</f>
        <v>60899152</v>
      </c>
      <c r="C70" s="6">
        <v>0</v>
      </c>
      <c r="D70" s="15">
        <f>+B70+C70</f>
        <v>60899152</v>
      </c>
      <c r="E70" s="20">
        <f>+D70</f>
        <v>60899152</v>
      </c>
      <c r="F70" s="20">
        <f>+E70</f>
        <v>60899152</v>
      </c>
      <c r="G70" s="6">
        <f t="shared" si="26"/>
        <v>0</v>
      </c>
      <c r="H70" s="20">
        <f t="shared" si="27"/>
        <v>100</v>
      </c>
      <c r="I70" s="20">
        <f t="shared" si="28"/>
        <v>100</v>
      </c>
      <c r="J70" s="6"/>
      <c r="K70" s="21"/>
      <c r="L70" s="21"/>
      <c r="M70" s="21"/>
      <c r="N70" s="21">
        <f>1152210+53112499</f>
        <v>54264709</v>
      </c>
      <c r="O70" s="6">
        <f>+N70</f>
        <v>54264709</v>
      </c>
      <c r="P70" s="21">
        <f>+O70</f>
        <v>54264709</v>
      </c>
      <c r="Q70" s="6">
        <f aca="true" t="shared" si="30" ref="Q70:Q76">+O70</f>
        <v>54264709</v>
      </c>
      <c r="R70" s="6">
        <f>+Q70</f>
        <v>54264709</v>
      </c>
      <c r="S70" s="21">
        <f aca="true" t="shared" si="31" ref="S70:S76">+D70-O70</f>
        <v>6634443</v>
      </c>
      <c r="T70" s="84">
        <f t="shared" si="21"/>
        <v>89.1058532309284</v>
      </c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12.75">
      <c r="A71" s="85" t="s">
        <v>126</v>
      </c>
      <c r="B71" s="21">
        <f>88531834+1383516</f>
        <v>89915350</v>
      </c>
      <c r="C71" s="6">
        <v>0</v>
      </c>
      <c r="D71" s="63">
        <f aca="true" t="shared" si="32" ref="D71:D76">+B71+C71</f>
        <v>89915350</v>
      </c>
      <c r="E71" s="20">
        <f>+D71</f>
        <v>89915350</v>
      </c>
      <c r="F71" s="20">
        <f>+E71</f>
        <v>89915350</v>
      </c>
      <c r="G71" s="6">
        <f t="shared" si="26"/>
        <v>0</v>
      </c>
      <c r="H71" s="20">
        <f t="shared" si="27"/>
        <v>100</v>
      </c>
      <c r="I71" s="20">
        <f t="shared" si="28"/>
        <v>100</v>
      </c>
      <c r="J71" s="6"/>
      <c r="K71" s="21"/>
      <c r="L71" s="21"/>
      <c r="M71" s="21"/>
      <c r="N71" s="21">
        <v>43865560</v>
      </c>
      <c r="O71" s="6">
        <f>+N71</f>
        <v>43865560</v>
      </c>
      <c r="P71" s="21">
        <f>+O71</f>
        <v>43865560</v>
      </c>
      <c r="Q71" s="6">
        <f t="shared" si="30"/>
        <v>43865560</v>
      </c>
      <c r="R71" s="6">
        <v>43865560</v>
      </c>
      <c r="S71" s="21">
        <f t="shared" si="31"/>
        <v>46049790</v>
      </c>
      <c r="T71" s="84">
        <f t="shared" si="21"/>
        <v>48.78539648680676</v>
      </c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12.75">
      <c r="A72" s="85" t="s">
        <v>127</v>
      </c>
      <c r="B72" s="21">
        <v>44447900</v>
      </c>
      <c r="C72" s="6">
        <v>0</v>
      </c>
      <c r="D72" s="63">
        <f t="shared" si="32"/>
        <v>44447900</v>
      </c>
      <c r="E72" s="20">
        <f>+E73</f>
        <v>0</v>
      </c>
      <c r="F72" s="20">
        <f>+F73</f>
        <v>0</v>
      </c>
      <c r="G72" s="6">
        <f t="shared" si="26"/>
        <v>44447900</v>
      </c>
      <c r="H72" s="20">
        <f t="shared" si="27"/>
        <v>0</v>
      </c>
      <c r="I72" s="20">
        <f t="shared" si="28"/>
        <v>0</v>
      </c>
      <c r="J72" s="6"/>
      <c r="K72" s="21"/>
      <c r="L72" s="21"/>
      <c r="M72" s="21"/>
      <c r="N72" s="21">
        <v>21714418</v>
      </c>
      <c r="O72" s="6">
        <f>+N72</f>
        <v>21714418</v>
      </c>
      <c r="P72" s="21">
        <f>+P73</f>
        <v>0</v>
      </c>
      <c r="Q72" s="6">
        <f t="shared" si="30"/>
        <v>21714418</v>
      </c>
      <c r="R72" s="6">
        <v>4361380</v>
      </c>
      <c r="S72" s="21">
        <f t="shared" si="31"/>
        <v>22733482</v>
      </c>
      <c r="T72" s="84">
        <f t="shared" si="21"/>
        <v>48.85364212932444</v>
      </c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2.75">
      <c r="A73" s="85" t="s">
        <v>128</v>
      </c>
      <c r="B73" s="21">
        <v>33150834</v>
      </c>
      <c r="C73" s="6">
        <v>0</v>
      </c>
      <c r="D73" s="63">
        <f t="shared" si="32"/>
        <v>33150834</v>
      </c>
      <c r="E73" s="20">
        <v>0</v>
      </c>
      <c r="F73" s="20">
        <v>0</v>
      </c>
      <c r="G73" s="6">
        <f t="shared" si="26"/>
        <v>33150834</v>
      </c>
      <c r="H73" s="20">
        <f t="shared" si="27"/>
        <v>0</v>
      </c>
      <c r="I73" s="20">
        <f t="shared" si="28"/>
        <v>0</v>
      </c>
      <c r="J73" s="6"/>
      <c r="K73" s="21"/>
      <c r="L73" s="21"/>
      <c r="M73" s="21"/>
      <c r="N73" s="21">
        <v>22045802</v>
      </c>
      <c r="O73" s="6">
        <f>+N73</f>
        <v>22045802</v>
      </c>
      <c r="P73" s="21">
        <v>0</v>
      </c>
      <c r="Q73" s="6">
        <f t="shared" si="30"/>
        <v>22045802</v>
      </c>
      <c r="R73" s="6">
        <f>+Q73</f>
        <v>22045802</v>
      </c>
      <c r="S73" s="21">
        <f t="shared" si="31"/>
        <v>11105032</v>
      </c>
      <c r="T73" s="84">
        <f t="shared" si="21"/>
        <v>66.50150038457554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ht="25.5">
      <c r="A74" s="86" t="s">
        <v>129</v>
      </c>
      <c r="B74" s="3">
        <f>9670380+4235438</f>
        <v>13905818</v>
      </c>
      <c r="C74" s="6">
        <v>0</v>
      </c>
      <c r="D74" s="63">
        <f>+B74+C74</f>
        <v>13905818</v>
      </c>
      <c r="E74" s="20" t="s">
        <v>0</v>
      </c>
      <c r="F74" s="20"/>
      <c r="G74" s="6"/>
      <c r="H74" s="20" t="s">
        <v>0</v>
      </c>
      <c r="I74" s="6"/>
      <c r="J74" s="6"/>
      <c r="K74" s="21"/>
      <c r="L74" s="21"/>
      <c r="M74" s="21"/>
      <c r="N74" s="21">
        <v>9101124</v>
      </c>
      <c r="O74" s="6">
        <f>+N74</f>
        <v>9101124</v>
      </c>
      <c r="P74" s="21"/>
      <c r="Q74" s="21">
        <f t="shared" si="30"/>
        <v>9101124</v>
      </c>
      <c r="R74" s="6">
        <f>+Q74</f>
        <v>9101124</v>
      </c>
      <c r="S74" s="21">
        <f t="shared" si="31"/>
        <v>4804694</v>
      </c>
      <c r="T74" s="84">
        <f t="shared" si="21"/>
        <v>65.44831810685284</v>
      </c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12.75">
      <c r="A75" s="85" t="s">
        <v>130</v>
      </c>
      <c r="B75" s="3">
        <v>26490750</v>
      </c>
      <c r="C75" s="6">
        <v>0</v>
      </c>
      <c r="D75" s="63">
        <f t="shared" si="32"/>
        <v>26490750</v>
      </c>
      <c r="E75" s="21"/>
      <c r="F75" s="21"/>
      <c r="G75" s="21"/>
      <c r="H75" s="21"/>
      <c r="I75" s="21"/>
      <c r="J75" s="21"/>
      <c r="K75" s="21"/>
      <c r="L75" s="21"/>
      <c r="M75" s="21"/>
      <c r="N75" s="21">
        <v>18165959</v>
      </c>
      <c r="O75" s="8">
        <f>+N75</f>
        <v>18165959</v>
      </c>
      <c r="P75" s="21"/>
      <c r="Q75" s="21">
        <f t="shared" si="30"/>
        <v>18165959</v>
      </c>
      <c r="R75" s="6">
        <f>+Q75</f>
        <v>18165959</v>
      </c>
      <c r="S75" s="21">
        <f t="shared" si="31"/>
        <v>8324791</v>
      </c>
      <c r="T75" s="84">
        <f t="shared" si="21"/>
        <v>68.57472513990731</v>
      </c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12.75">
      <c r="A76" s="85" t="s">
        <v>131</v>
      </c>
      <c r="B76" s="3">
        <v>19830668</v>
      </c>
      <c r="C76" s="6">
        <v>0</v>
      </c>
      <c r="D76" s="63">
        <f t="shared" si="32"/>
        <v>19830668</v>
      </c>
      <c r="E76" s="21"/>
      <c r="F76" s="21"/>
      <c r="G76" s="21"/>
      <c r="H76" s="21"/>
      <c r="I76" s="21"/>
      <c r="J76" s="21"/>
      <c r="K76" s="21"/>
      <c r="L76" s="21"/>
      <c r="M76" s="21"/>
      <c r="N76" s="21">
        <v>14569480</v>
      </c>
      <c r="O76" s="8">
        <f>+N76</f>
        <v>14569480</v>
      </c>
      <c r="P76" s="3"/>
      <c r="Q76" s="3">
        <f t="shared" si="30"/>
        <v>14569480</v>
      </c>
      <c r="R76" s="8">
        <v>14569480</v>
      </c>
      <c r="S76" s="21">
        <f t="shared" si="31"/>
        <v>5261188</v>
      </c>
      <c r="T76" s="84">
        <f t="shared" si="21"/>
        <v>73.46943632962844</v>
      </c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25.5">
      <c r="A77" s="87" t="s">
        <v>147</v>
      </c>
      <c r="B77" s="75">
        <f>+B78+B82+B83+B84</f>
        <v>167739582</v>
      </c>
      <c r="C77" s="75">
        <f aca="true" t="shared" si="33" ref="C77:R77">+C78+C82+C83+C84</f>
        <v>0</v>
      </c>
      <c r="D77" s="75">
        <f t="shared" si="33"/>
        <v>167739582</v>
      </c>
      <c r="E77" s="75">
        <f t="shared" si="33"/>
        <v>0</v>
      </c>
      <c r="F77" s="75">
        <f t="shared" si="33"/>
        <v>0</v>
      </c>
      <c r="G77" s="75">
        <f t="shared" si="33"/>
        <v>0</v>
      </c>
      <c r="H77" s="75">
        <f t="shared" si="33"/>
        <v>0</v>
      </c>
      <c r="I77" s="75">
        <f t="shared" si="33"/>
        <v>0</v>
      </c>
      <c r="J77" s="75">
        <f t="shared" si="33"/>
        <v>0</v>
      </c>
      <c r="K77" s="75">
        <f t="shared" si="33"/>
        <v>0</v>
      </c>
      <c r="L77" s="75">
        <f t="shared" si="33"/>
        <v>0</v>
      </c>
      <c r="M77" s="75">
        <f t="shared" si="33"/>
        <v>0</v>
      </c>
      <c r="N77" s="75">
        <f t="shared" si="33"/>
        <v>104421518</v>
      </c>
      <c r="O77" s="75">
        <f t="shared" si="33"/>
        <v>104421518</v>
      </c>
      <c r="P77" s="75">
        <f t="shared" si="33"/>
        <v>0</v>
      </c>
      <c r="Q77" s="75">
        <f t="shared" si="33"/>
        <v>104421518</v>
      </c>
      <c r="R77" s="75">
        <f t="shared" si="33"/>
        <v>104421518</v>
      </c>
      <c r="S77" s="75">
        <f>+S78+S82+S83+S84</f>
        <v>63318064</v>
      </c>
      <c r="T77" s="84">
        <f t="shared" si="21"/>
        <v>62.25216299871309</v>
      </c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ht="12.75">
      <c r="A78" s="87" t="s">
        <v>173</v>
      </c>
      <c r="B78" s="19">
        <f>+B79+B80+B81</f>
        <v>87123960</v>
      </c>
      <c r="C78" s="19">
        <f aca="true" t="shared" si="34" ref="C78:R78">+C79+C80+C81</f>
        <v>0</v>
      </c>
      <c r="D78" s="19">
        <f>+D79+D80+D81</f>
        <v>87123960</v>
      </c>
      <c r="E78" s="19">
        <f t="shared" si="34"/>
        <v>0</v>
      </c>
      <c r="F78" s="19">
        <f t="shared" si="34"/>
        <v>0</v>
      </c>
      <c r="G78" s="19">
        <f t="shared" si="34"/>
        <v>0</v>
      </c>
      <c r="H78" s="19">
        <f t="shared" si="34"/>
        <v>0</v>
      </c>
      <c r="I78" s="19">
        <f t="shared" si="34"/>
        <v>0</v>
      </c>
      <c r="J78" s="19">
        <f t="shared" si="34"/>
        <v>0</v>
      </c>
      <c r="K78" s="19">
        <f t="shared" si="34"/>
        <v>0</v>
      </c>
      <c r="L78" s="19">
        <f t="shared" si="34"/>
        <v>0</v>
      </c>
      <c r="M78" s="19">
        <f t="shared" si="34"/>
        <v>0</v>
      </c>
      <c r="N78" s="19">
        <f>+N79+N80+N81</f>
        <v>29442525</v>
      </c>
      <c r="O78" s="19">
        <f t="shared" si="34"/>
        <v>29442525</v>
      </c>
      <c r="P78" s="19">
        <f t="shared" si="34"/>
        <v>0</v>
      </c>
      <c r="Q78" s="19">
        <f t="shared" si="34"/>
        <v>29442525</v>
      </c>
      <c r="R78" s="19">
        <f t="shared" si="34"/>
        <v>29442525</v>
      </c>
      <c r="S78" s="19">
        <f>+S79+S80+S81</f>
        <v>57681435</v>
      </c>
      <c r="T78" s="84">
        <f t="shared" si="21"/>
        <v>33.79383237401055</v>
      </c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ht="12.75">
      <c r="A79" s="85" t="s">
        <v>133</v>
      </c>
      <c r="B79" s="3">
        <v>63090303</v>
      </c>
      <c r="C79" s="6">
        <v>0</v>
      </c>
      <c r="D79" s="15">
        <f aca="true" t="shared" si="35" ref="D79:D84">+B79+C79</f>
        <v>63090303</v>
      </c>
      <c r="E79" s="21"/>
      <c r="F79" s="21"/>
      <c r="G79" s="21"/>
      <c r="H79" s="21"/>
      <c r="I79" s="21"/>
      <c r="J79" s="21"/>
      <c r="K79" s="21"/>
      <c r="L79" s="21"/>
      <c r="M79" s="21"/>
      <c r="N79" s="21">
        <v>14555239</v>
      </c>
      <c r="O79" s="6">
        <f>+N79</f>
        <v>14555239</v>
      </c>
      <c r="P79" s="21"/>
      <c r="Q79" s="3">
        <f aca="true" t="shared" si="36" ref="Q79:Q84">+O79</f>
        <v>14555239</v>
      </c>
      <c r="R79" s="6">
        <f aca="true" t="shared" si="37" ref="R79:R84">+Q79</f>
        <v>14555239</v>
      </c>
      <c r="S79" s="21">
        <f aca="true" t="shared" si="38" ref="S79:S84">+D79-O79</f>
        <v>48535064</v>
      </c>
      <c r="T79" s="84">
        <f t="shared" si="21"/>
        <v>23.07048517424302</v>
      </c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12.75">
      <c r="A80" s="81" t="s">
        <v>134</v>
      </c>
      <c r="B80" s="3">
        <v>15080161</v>
      </c>
      <c r="C80" s="6">
        <v>0</v>
      </c>
      <c r="D80" s="15">
        <f>+B80</f>
        <v>15080161</v>
      </c>
      <c r="E80" s="21"/>
      <c r="F80" s="21"/>
      <c r="G80" s="21"/>
      <c r="H80" s="21"/>
      <c r="I80" s="21"/>
      <c r="J80" s="21"/>
      <c r="K80" s="21"/>
      <c r="L80" s="21"/>
      <c r="M80" s="21"/>
      <c r="N80" s="21">
        <v>8051295</v>
      </c>
      <c r="O80" s="6">
        <v>8051295</v>
      </c>
      <c r="P80" s="21"/>
      <c r="Q80" s="3">
        <f t="shared" si="36"/>
        <v>8051295</v>
      </c>
      <c r="R80" s="6">
        <f t="shared" si="37"/>
        <v>8051295</v>
      </c>
      <c r="S80" s="21">
        <f t="shared" si="38"/>
        <v>7028866</v>
      </c>
      <c r="T80" s="84">
        <f t="shared" si="21"/>
        <v>53.389980385487924</v>
      </c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12.75">
      <c r="A81" s="81" t="s">
        <v>174</v>
      </c>
      <c r="B81" s="3">
        <f>8459978+493518</f>
        <v>8953496</v>
      </c>
      <c r="C81" s="6">
        <v>0</v>
      </c>
      <c r="D81" s="15">
        <f>+B81+C81</f>
        <v>8953496</v>
      </c>
      <c r="E81" s="21"/>
      <c r="F81" s="21"/>
      <c r="G81" s="21"/>
      <c r="H81" s="21"/>
      <c r="I81" s="21"/>
      <c r="J81" s="21"/>
      <c r="K81" s="21"/>
      <c r="L81" s="21"/>
      <c r="M81" s="21"/>
      <c r="N81" s="21">
        <f>6469120+366871</f>
        <v>6835991</v>
      </c>
      <c r="O81" s="6">
        <f>+N81</f>
        <v>6835991</v>
      </c>
      <c r="P81" s="21"/>
      <c r="Q81" s="3">
        <f t="shared" si="36"/>
        <v>6835991</v>
      </c>
      <c r="R81" s="6">
        <f t="shared" si="37"/>
        <v>6835991</v>
      </c>
      <c r="S81" s="21">
        <f t="shared" si="38"/>
        <v>2117505</v>
      </c>
      <c r="T81" s="84">
        <f t="shared" si="21"/>
        <v>76.34996430444599</v>
      </c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12.75">
      <c r="A82" s="85" t="s">
        <v>135</v>
      </c>
      <c r="B82" s="21">
        <v>57221107</v>
      </c>
      <c r="C82" s="6">
        <v>0</v>
      </c>
      <c r="D82" s="63">
        <f t="shared" si="35"/>
        <v>57221107</v>
      </c>
      <c r="E82" s="21"/>
      <c r="F82" s="21"/>
      <c r="G82" s="21"/>
      <c r="H82" s="21"/>
      <c r="I82" s="21"/>
      <c r="J82" s="21"/>
      <c r="K82" s="21"/>
      <c r="L82" s="21"/>
      <c r="M82" s="21"/>
      <c r="N82" s="21">
        <v>57221107</v>
      </c>
      <c r="O82" s="6">
        <f>+N82</f>
        <v>57221107</v>
      </c>
      <c r="P82" s="21"/>
      <c r="Q82" s="3">
        <f t="shared" si="36"/>
        <v>57221107</v>
      </c>
      <c r="R82" s="6">
        <f t="shared" si="37"/>
        <v>57221107</v>
      </c>
      <c r="S82" s="21">
        <f t="shared" si="38"/>
        <v>0</v>
      </c>
      <c r="T82" s="84">
        <f t="shared" si="21"/>
        <v>100</v>
      </c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ht="12.75">
      <c r="A83" s="81" t="s">
        <v>143</v>
      </c>
      <c r="B83" s="21">
        <v>1221018</v>
      </c>
      <c r="C83" s="6">
        <v>0</v>
      </c>
      <c r="D83" s="63">
        <f t="shared" si="35"/>
        <v>1221018</v>
      </c>
      <c r="E83" s="21"/>
      <c r="F83" s="21"/>
      <c r="G83" s="21"/>
      <c r="H83" s="21"/>
      <c r="I83" s="21"/>
      <c r="J83" s="21"/>
      <c r="K83" s="21"/>
      <c r="L83" s="21"/>
      <c r="M83" s="21"/>
      <c r="N83" s="21">
        <v>1221018</v>
      </c>
      <c r="O83" s="6">
        <f>+N83</f>
        <v>1221018</v>
      </c>
      <c r="P83" s="21"/>
      <c r="Q83" s="3">
        <f t="shared" si="36"/>
        <v>1221018</v>
      </c>
      <c r="R83" s="6">
        <f t="shared" si="37"/>
        <v>1221018</v>
      </c>
      <c r="S83" s="21">
        <f t="shared" si="38"/>
        <v>0</v>
      </c>
      <c r="T83" s="84">
        <f t="shared" si="21"/>
        <v>100</v>
      </c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ht="12.75">
      <c r="A84" s="81" t="s">
        <v>144</v>
      </c>
      <c r="B84" s="21">
        <v>22173497</v>
      </c>
      <c r="C84" s="6">
        <v>0</v>
      </c>
      <c r="D84" s="63">
        <f t="shared" si="35"/>
        <v>22173497</v>
      </c>
      <c r="E84" s="21"/>
      <c r="F84" s="21"/>
      <c r="G84" s="21"/>
      <c r="H84" s="21"/>
      <c r="I84" s="21"/>
      <c r="J84" s="21"/>
      <c r="K84" s="21"/>
      <c r="L84" s="21"/>
      <c r="M84" s="21"/>
      <c r="N84" s="21">
        <v>16536868</v>
      </c>
      <c r="O84" s="6">
        <f>+N84</f>
        <v>16536868</v>
      </c>
      <c r="P84" s="21"/>
      <c r="Q84" s="3">
        <f t="shared" si="36"/>
        <v>16536868</v>
      </c>
      <c r="R84" s="6">
        <f t="shared" si="37"/>
        <v>16536868</v>
      </c>
      <c r="S84" s="21">
        <f t="shared" si="38"/>
        <v>5636629</v>
      </c>
      <c r="T84" s="84">
        <f t="shared" si="21"/>
        <v>74.57943147172502</v>
      </c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40" ht="12.75">
      <c r="A85" s="83" t="s">
        <v>145</v>
      </c>
      <c r="B85" s="75">
        <f>+B86+B96+B104</f>
        <v>25076591</v>
      </c>
      <c r="C85" s="75">
        <f aca="true" t="shared" si="39" ref="C85:Q85">+C86+C96+C104</f>
        <v>21600000</v>
      </c>
      <c r="D85" s="75">
        <f t="shared" si="39"/>
        <v>46676591</v>
      </c>
      <c r="E85" s="75" t="e">
        <f t="shared" si="39"/>
        <v>#VALUE!</v>
      </c>
      <c r="F85" s="75">
        <f t="shared" si="39"/>
        <v>45892831</v>
      </c>
      <c r="G85" s="75">
        <f t="shared" si="39"/>
        <v>-31935965</v>
      </c>
      <c r="H85" s="75" t="e">
        <f t="shared" si="39"/>
        <v>#VALUE!</v>
      </c>
      <c r="I85" s="75">
        <f t="shared" si="39"/>
        <v>2355.4597956286057</v>
      </c>
      <c r="J85" s="75">
        <f t="shared" si="39"/>
        <v>0</v>
      </c>
      <c r="K85" s="75">
        <f t="shared" si="39"/>
        <v>0</v>
      </c>
      <c r="L85" s="75">
        <f t="shared" si="39"/>
        <v>0</v>
      </c>
      <c r="M85" s="75">
        <f t="shared" si="39"/>
        <v>0</v>
      </c>
      <c r="N85" s="75">
        <f t="shared" si="39"/>
        <v>38598910</v>
      </c>
      <c r="O85" s="75">
        <f t="shared" si="39"/>
        <v>38598910</v>
      </c>
      <c r="P85" s="75">
        <f t="shared" si="39"/>
        <v>8186789</v>
      </c>
      <c r="Q85" s="75">
        <f t="shared" si="39"/>
        <v>38598910</v>
      </c>
      <c r="R85" s="75">
        <f>+R86+R96+R104</f>
        <v>38598910</v>
      </c>
      <c r="S85" s="75">
        <f>+S86+S96+S104</f>
        <v>8077681</v>
      </c>
      <c r="T85" s="84">
        <f t="shared" si="21"/>
        <v>82.69436386217666</v>
      </c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ht="12.75">
      <c r="A86" s="81" t="s">
        <v>115</v>
      </c>
      <c r="B86" s="21">
        <f>+B87+B93</f>
        <v>16983130</v>
      </c>
      <c r="C86" s="21">
        <f>+C87+C93</f>
        <v>14839845</v>
      </c>
      <c r="D86" s="21">
        <f>+D87+D93</f>
        <v>31822975</v>
      </c>
      <c r="E86" s="21">
        <f aca="true" t="shared" si="40" ref="E86:Q86">+E87+E93</f>
        <v>39833700</v>
      </c>
      <c r="F86" s="21">
        <f t="shared" si="40"/>
        <v>39833700</v>
      </c>
      <c r="G86" s="21">
        <f t="shared" si="40"/>
        <v>-35827468</v>
      </c>
      <c r="H86" s="21">
        <f t="shared" si="40"/>
        <v>2155.4597956286057</v>
      </c>
      <c r="I86" s="21">
        <f t="shared" si="40"/>
        <v>2155.4597956286057</v>
      </c>
      <c r="J86" s="21">
        <f t="shared" si="40"/>
        <v>0</v>
      </c>
      <c r="K86" s="21">
        <f t="shared" si="40"/>
        <v>0</v>
      </c>
      <c r="L86" s="21">
        <f t="shared" si="40"/>
        <v>0</v>
      </c>
      <c r="M86" s="21">
        <f t="shared" si="40"/>
        <v>0</v>
      </c>
      <c r="N86" s="21">
        <f t="shared" si="40"/>
        <v>26705171</v>
      </c>
      <c r="O86" s="21">
        <f t="shared" si="40"/>
        <v>26705171</v>
      </c>
      <c r="P86" s="21">
        <f t="shared" si="40"/>
        <v>3151029</v>
      </c>
      <c r="Q86" s="21">
        <f t="shared" si="40"/>
        <v>26705171</v>
      </c>
      <c r="R86" s="21">
        <f>+R87+R93</f>
        <v>26705171</v>
      </c>
      <c r="S86" s="21">
        <f>+S87+S93</f>
        <v>5117804</v>
      </c>
      <c r="T86" s="84">
        <f t="shared" si="21"/>
        <v>83.91789579698316</v>
      </c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:40" ht="12.75">
      <c r="A87" s="81" t="s">
        <v>116</v>
      </c>
      <c r="B87" s="21">
        <f>+B88+B89+B90+B91+B92</f>
        <v>14935792</v>
      </c>
      <c r="C87" s="21">
        <f aca="true" t="shared" si="41" ref="C87:S87">+C88+C89+C90+C91+C92</f>
        <v>12880951</v>
      </c>
      <c r="D87" s="21">
        <f t="shared" si="41"/>
        <v>27816743</v>
      </c>
      <c r="E87" s="21">
        <f t="shared" si="41"/>
        <v>0</v>
      </c>
      <c r="F87" s="21">
        <f t="shared" si="41"/>
        <v>0</v>
      </c>
      <c r="G87" s="21">
        <f t="shared" si="41"/>
        <v>0</v>
      </c>
      <c r="H87" s="21">
        <f t="shared" si="41"/>
        <v>0</v>
      </c>
      <c r="I87" s="21">
        <f t="shared" si="41"/>
        <v>0</v>
      </c>
      <c r="J87" s="21">
        <f t="shared" si="41"/>
        <v>0</v>
      </c>
      <c r="K87" s="21">
        <f t="shared" si="41"/>
        <v>0</v>
      </c>
      <c r="L87" s="21">
        <f t="shared" si="41"/>
        <v>0</v>
      </c>
      <c r="M87" s="21">
        <f t="shared" si="41"/>
        <v>0</v>
      </c>
      <c r="N87" s="21">
        <f t="shared" si="41"/>
        <v>23554142</v>
      </c>
      <c r="O87" s="21">
        <f t="shared" si="41"/>
        <v>23554142</v>
      </c>
      <c r="P87" s="21">
        <f t="shared" si="41"/>
        <v>0</v>
      </c>
      <c r="Q87" s="21">
        <f>+Q88+Q89+Q90+Q91+Q92</f>
        <v>23554142</v>
      </c>
      <c r="R87" s="21">
        <f t="shared" si="41"/>
        <v>23554142</v>
      </c>
      <c r="S87" s="21">
        <f t="shared" si="41"/>
        <v>4262601</v>
      </c>
      <c r="T87" s="84">
        <f t="shared" si="21"/>
        <v>84.67613192529406</v>
      </c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ht="12.75">
      <c r="A88" s="81" t="s">
        <v>112</v>
      </c>
      <c r="B88" s="21">
        <v>13643498</v>
      </c>
      <c r="C88" s="6">
        <v>11175283</v>
      </c>
      <c r="D88" s="63">
        <f>+B88+C88</f>
        <v>24818781</v>
      </c>
      <c r="E88" s="21"/>
      <c r="F88" s="21"/>
      <c r="G88" s="21"/>
      <c r="H88" s="21"/>
      <c r="I88" s="21"/>
      <c r="J88" s="21"/>
      <c r="K88" s="21"/>
      <c r="L88" s="21"/>
      <c r="M88" s="21"/>
      <c r="N88" s="21">
        <v>21367703</v>
      </c>
      <c r="O88" s="6">
        <f>+N88</f>
        <v>21367703</v>
      </c>
      <c r="P88" s="21"/>
      <c r="Q88" s="3">
        <f>+O88</f>
        <v>21367703</v>
      </c>
      <c r="R88" s="6">
        <f>+Q88</f>
        <v>21367703</v>
      </c>
      <c r="S88" s="21">
        <f>+D88-O88</f>
        <v>3451078</v>
      </c>
      <c r="T88" s="84">
        <f t="shared" si="21"/>
        <v>86.0948932181641</v>
      </c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ht="12.75">
      <c r="A89" s="81" t="s">
        <v>117</v>
      </c>
      <c r="B89" s="21">
        <v>50818</v>
      </c>
      <c r="C89" s="6">
        <v>229526</v>
      </c>
      <c r="D89" s="63">
        <f>+B89+C89</f>
        <v>280344</v>
      </c>
      <c r="E89" s="21"/>
      <c r="F89" s="21"/>
      <c r="G89" s="21"/>
      <c r="H89" s="21"/>
      <c r="I89" s="21"/>
      <c r="J89" s="21"/>
      <c r="K89" s="21"/>
      <c r="L89" s="21"/>
      <c r="M89" s="21"/>
      <c r="N89" s="21">
        <v>152080</v>
      </c>
      <c r="O89" s="6">
        <f>+N89</f>
        <v>152080</v>
      </c>
      <c r="P89" s="21"/>
      <c r="Q89" s="3">
        <f>+O89</f>
        <v>152080</v>
      </c>
      <c r="R89" s="6">
        <f>+Q89</f>
        <v>152080</v>
      </c>
      <c r="S89" s="21">
        <f>+D89-O89</f>
        <v>128264</v>
      </c>
      <c r="T89" s="84">
        <f t="shared" si="21"/>
        <v>54.24763861541535</v>
      </c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ht="12.75">
      <c r="A90" s="81" t="s">
        <v>118</v>
      </c>
      <c r="B90" s="21">
        <v>81842</v>
      </c>
      <c r="C90" s="6">
        <v>369664</v>
      </c>
      <c r="D90" s="63">
        <f>+B90+C90</f>
        <v>451506</v>
      </c>
      <c r="E90" s="21"/>
      <c r="F90" s="21"/>
      <c r="G90" s="21"/>
      <c r="H90" s="21"/>
      <c r="I90" s="21"/>
      <c r="J90" s="21"/>
      <c r="K90" s="21"/>
      <c r="L90" s="21"/>
      <c r="M90" s="21"/>
      <c r="N90" s="21">
        <v>238697</v>
      </c>
      <c r="O90" s="6">
        <f>+N90</f>
        <v>238697</v>
      </c>
      <c r="P90" s="21"/>
      <c r="Q90" s="3">
        <v>238697</v>
      </c>
      <c r="R90" s="6">
        <v>238697</v>
      </c>
      <c r="S90" s="21">
        <f>+D90-O90</f>
        <v>212809</v>
      </c>
      <c r="T90" s="84">
        <f t="shared" si="21"/>
        <v>52.866850052933955</v>
      </c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ht="12.75">
      <c r="A91" s="81" t="s">
        <v>119</v>
      </c>
      <c r="B91" s="21">
        <v>679217</v>
      </c>
      <c r="C91" s="6">
        <v>631625</v>
      </c>
      <c r="D91" s="63">
        <f>+B91+C91</f>
        <v>1310842</v>
      </c>
      <c r="E91" s="21"/>
      <c r="F91" s="21"/>
      <c r="G91" s="21"/>
      <c r="H91" s="21"/>
      <c r="I91" s="21"/>
      <c r="J91" s="21"/>
      <c r="K91" s="21"/>
      <c r="L91" s="21"/>
      <c r="M91" s="21"/>
      <c r="N91" s="21">
        <v>1044083</v>
      </c>
      <c r="O91" s="6">
        <f>+N91</f>
        <v>1044083</v>
      </c>
      <c r="P91" s="21"/>
      <c r="Q91" s="3">
        <f>+O91</f>
        <v>1044083</v>
      </c>
      <c r="R91" s="6">
        <f>+Q91</f>
        <v>1044083</v>
      </c>
      <c r="S91" s="21">
        <f>+D91-O91</f>
        <v>266759</v>
      </c>
      <c r="T91" s="84">
        <f t="shared" si="21"/>
        <v>79.64979761100118</v>
      </c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ht="12.75">
      <c r="A92" s="81" t="s">
        <v>120</v>
      </c>
      <c r="B92" s="21">
        <v>480417</v>
      </c>
      <c r="C92" s="6">
        <v>474853</v>
      </c>
      <c r="D92" s="63">
        <f>+B92+C92</f>
        <v>955270</v>
      </c>
      <c r="E92" s="21"/>
      <c r="F92" s="21"/>
      <c r="G92" s="21"/>
      <c r="H92" s="21"/>
      <c r="I92" s="21"/>
      <c r="J92" s="21"/>
      <c r="K92" s="21"/>
      <c r="L92" s="21"/>
      <c r="M92" s="21"/>
      <c r="N92" s="21">
        <v>751579</v>
      </c>
      <c r="O92" s="6">
        <f>+N92</f>
        <v>751579</v>
      </c>
      <c r="P92" s="21"/>
      <c r="Q92" s="3">
        <f>+O92</f>
        <v>751579</v>
      </c>
      <c r="R92" s="6">
        <f>+Q92</f>
        <v>751579</v>
      </c>
      <c r="S92" s="21">
        <f>+D92-O92</f>
        <v>203691</v>
      </c>
      <c r="T92" s="84">
        <f t="shared" si="21"/>
        <v>78.67712793241701</v>
      </c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3" spans="1:40" ht="12.75">
      <c r="A93" s="83" t="s">
        <v>121</v>
      </c>
      <c r="B93" s="75">
        <f>+B94+B95</f>
        <v>2047338</v>
      </c>
      <c r="C93" s="75">
        <f aca="true" t="shared" si="42" ref="C93:S93">+C94+C95</f>
        <v>1958894</v>
      </c>
      <c r="D93" s="75">
        <f t="shared" si="42"/>
        <v>4006232</v>
      </c>
      <c r="E93" s="75">
        <f t="shared" si="42"/>
        <v>39833700</v>
      </c>
      <c r="F93" s="75">
        <f t="shared" si="42"/>
        <v>39833700</v>
      </c>
      <c r="G93" s="75">
        <f t="shared" si="42"/>
        <v>-35827468</v>
      </c>
      <c r="H93" s="75">
        <f t="shared" si="42"/>
        <v>2155.4597956286057</v>
      </c>
      <c r="I93" s="75">
        <f t="shared" si="42"/>
        <v>2155.4597956286057</v>
      </c>
      <c r="J93" s="75">
        <f t="shared" si="42"/>
        <v>0</v>
      </c>
      <c r="K93" s="75">
        <f t="shared" si="42"/>
        <v>0</v>
      </c>
      <c r="L93" s="75">
        <f t="shared" si="42"/>
        <v>0</v>
      </c>
      <c r="M93" s="75">
        <f t="shared" si="42"/>
        <v>0</v>
      </c>
      <c r="N93" s="75">
        <f t="shared" si="42"/>
        <v>3151029</v>
      </c>
      <c r="O93" s="75">
        <f t="shared" si="42"/>
        <v>3151029</v>
      </c>
      <c r="P93" s="75">
        <f t="shared" si="42"/>
        <v>3151029</v>
      </c>
      <c r="Q93" s="75">
        <f t="shared" si="42"/>
        <v>3151029</v>
      </c>
      <c r="R93" s="75">
        <f t="shared" si="42"/>
        <v>3151029</v>
      </c>
      <c r="S93" s="75">
        <f t="shared" si="42"/>
        <v>855203</v>
      </c>
      <c r="T93" s="84">
        <f t="shared" si="21"/>
        <v>78.65318334035572</v>
      </c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</row>
    <row r="94" spans="1:40" ht="12.75">
      <c r="A94" s="85" t="s">
        <v>122</v>
      </c>
      <c r="B94" s="21">
        <v>1366176</v>
      </c>
      <c r="C94" s="6">
        <v>1307416</v>
      </c>
      <c r="D94" s="63">
        <f>+B94+C94</f>
        <v>2673592</v>
      </c>
      <c r="E94" s="20">
        <v>22149500</v>
      </c>
      <c r="F94" s="20">
        <v>22149500</v>
      </c>
      <c r="G94" s="6">
        <f>+D94-E94</f>
        <v>-19475908</v>
      </c>
      <c r="H94" s="20">
        <f>+E94/D94*100</f>
        <v>828.4547530064423</v>
      </c>
      <c r="I94" s="20">
        <f>+F94/D94*100</f>
        <v>828.4547530064423</v>
      </c>
      <c r="J94" s="6"/>
      <c r="K94" s="21"/>
      <c r="L94" s="21"/>
      <c r="M94" s="21"/>
      <c r="N94" s="21">
        <v>2102379</v>
      </c>
      <c r="O94" s="6">
        <f>+N94</f>
        <v>2102379</v>
      </c>
      <c r="P94" s="21">
        <f>+O94</f>
        <v>2102379</v>
      </c>
      <c r="Q94" s="6">
        <f>+O94</f>
        <v>2102379</v>
      </c>
      <c r="R94" s="6">
        <f>+Q94</f>
        <v>2102379</v>
      </c>
      <c r="S94" s="21">
        <f>+D94-O94</f>
        <v>571213</v>
      </c>
      <c r="T94" s="84">
        <f t="shared" si="21"/>
        <v>78.63499741172177</v>
      </c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40" ht="12.75">
      <c r="A95" s="85" t="s">
        <v>123</v>
      </c>
      <c r="B95" s="21">
        <v>681162</v>
      </c>
      <c r="C95" s="6">
        <v>651478</v>
      </c>
      <c r="D95" s="63">
        <f>+B95+C95</f>
        <v>1332640</v>
      </c>
      <c r="E95" s="20">
        <v>17684200</v>
      </c>
      <c r="F95" s="20">
        <v>17684200</v>
      </c>
      <c r="G95" s="6">
        <f>+D95-E95</f>
        <v>-16351560</v>
      </c>
      <c r="H95" s="20">
        <f>+E95/D95*100</f>
        <v>1327.0050426221635</v>
      </c>
      <c r="I95" s="20">
        <f>+F95/D95*100</f>
        <v>1327.0050426221635</v>
      </c>
      <c r="J95" s="6"/>
      <c r="K95" s="21"/>
      <c r="L95" s="21"/>
      <c r="M95" s="21"/>
      <c r="N95" s="21">
        <v>1048650</v>
      </c>
      <c r="O95" s="8">
        <f>+N95</f>
        <v>1048650</v>
      </c>
      <c r="P95" s="21">
        <f>+O95</f>
        <v>1048650</v>
      </c>
      <c r="Q95" s="6">
        <f>+O95</f>
        <v>1048650</v>
      </c>
      <c r="R95" s="6">
        <f>+Q95</f>
        <v>1048650</v>
      </c>
      <c r="S95" s="21">
        <f>+D95-O95</f>
        <v>283990</v>
      </c>
      <c r="T95" s="84">
        <f t="shared" si="21"/>
        <v>78.68966862768639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</row>
    <row r="96" spans="1:40" ht="12.75">
      <c r="A96" s="83" t="s">
        <v>124</v>
      </c>
      <c r="B96" s="75">
        <f>+B97+B98+B99+B100+B101+B102+B103</f>
        <v>6291232</v>
      </c>
      <c r="C96" s="75">
        <f aca="true" t="shared" si="43" ref="C96:R96">+C97+C98+C99+C100+C101+C102+C103</f>
        <v>5404994</v>
      </c>
      <c r="D96" s="75">
        <f t="shared" si="43"/>
        <v>11696226</v>
      </c>
      <c r="E96" s="75" t="e">
        <f t="shared" si="43"/>
        <v>#VALUE!</v>
      </c>
      <c r="F96" s="75">
        <f t="shared" si="43"/>
        <v>6059131</v>
      </c>
      <c r="G96" s="75">
        <f t="shared" si="43"/>
        <v>3891503</v>
      </c>
      <c r="H96" s="75" t="e">
        <f t="shared" si="43"/>
        <v>#VALUE!</v>
      </c>
      <c r="I96" s="75">
        <f t="shared" si="43"/>
        <v>200</v>
      </c>
      <c r="J96" s="75">
        <f t="shared" si="43"/>
        <v>0</v>
      </c>
      <c r="K96" s="75">
        <f t="shared" si="43"/>
        <v>0</v>
      </c>
      <c r="L96" s="75">
        <f t="shared" si="43"/>
        <v>0</v>
      </c>
      <c r="M96" s="75">
        <f t="shared" si="43"/>
        <v>0</v>
      </c>
      <c r="N96" s="75">
        <f t="shared" si="43"/>
        <v>9345803</v>
      </c>
      <c r="O96" s="75">
        <f t="shared" si="43"/>
        <v>9345803</v>
      </c>
      <c r="P96" s="75">
        <f t="shared" si="43"/>
        <v>5035760</v>
      </c>
      <c r="Q96" s="75">
        <f t="shared" si="43"/>
        <v>9345803</v>
      </c>
      <c r="R96" s="75">
        <f t="shared" si="43"/>
        <v>9345803</v>
      </c>
      <c r="S96" s="75">
        <f>+S97+S98+S99+S100+S101+S102+S103</f>
        <v>2350423</v>
      </c>
      <c r="T96" s="84">
        <f t="shared" si="21"/>
        <v>79.90443242119295</v>
      </c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ht="12.75">
      <c r="A97" s="85" t="s">
        <v>125</v>
      </c>
      <c r="B97" s="21">
        <v>1930922</v>
      </c>
      <c r="C97" s="6">
        <v>1614025</v>
      </c>
      <c r="D97" s="15">
        <f aca="true" t="shared" si="44" ref="D97:D103">+B97+C97</f>
        <v>3544947</v>
      </c>
      <c r="E97" s="20">
        <f>+D97</f>
        <v>3544947</v>
      </c>
      <c r="F97" s="20">
        <f>+E97</f>
        <v>3544947</v>
      </c>
      <c r="G97" s="6">
        <f>+D97-E97</f>
        <v>0</v>
      </c>
      <c r="H97" s="20">
        <f>+E97/D97*100</f>
        <v>100</v>
      </c>
      <c r="I97" s="20">
        <f>+F97/D97*100</f>
        <v>100</v>
      </c>
      <c r="J97" s="6"/>
      <c r="K97" s="21"/>
      <c r="L97" s="21"/>
      <c r="M97" s="21"/>
      <c r="N97" s="21">
        <v>2549045</v>
      </c>
      <c r="O97" s="6">
        <f>+N97</f>
        <v>2549045</v>
      </c>
      <c r="P97" s="6">
        <f>+O97</f>
        <v>2549045</v>
      </c>
      <c r="Q97" s="6">
        <f aca="true" t="shared" si="45" ref="Q97:Q103">+O97</f>
        <v>2549045</v>
      </c>
      <c r="R97" s="6">
        <f aca="true" t="shared" si="46" ref="R97:R103">+Q97</f>
        <v>2549045</v>
      </c>
      <c r="S97" s="21">
        <f aca="true" t="shared" si="47" ref="S97:S103">+D97-O97</f>
        <v>995902</v>
      </c>
      <c r="T97" s="84">
        <f t="shared" si="21"/>
        <v>71.90643470833274</v>
      </c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ht="12.75">
      <c r="A98" s="85" t="s">
        <v>126</v>
      </c>
      <c r="B98" s="21">
        <v>1375726</v>
      </c>
      <c r="C98" s="6">
        <v>1138458</v>
      </c>
      <c r="D98" s="63">
        <f t="shared" si="44"/>
        <v>2514184</v>
      </c>
      <c r="E98" s="20">
        <f>+D98</f>
        <v>2514184</v>
      </c>
      <c r="F98" s="20">
        <f>+E98</f>
        <v>2514184</v>
      </c>
      <c r="G98" s="6">
        <f>+D98-E98</f>
        <v>0</v>
      </c>
      <c r="H98" s="20">
        <f>+E98/D98*100</f>
        <v>100</v>
      </c>
      <c r="I98" s="20">
        <f>+F98/D98*100</f>
        <v>100</v>
      </c>
      <c r="J98" s="6"/>
      <c r="K98" s="21"/>
      <c r="L98" s="21"/>
      <c r="M98" s="21"/>
      <c r="N98" s="21">
        <v>2486715</v>
      </c>
      <c r="O98" s="6">
        <f>+N98</f>
        <v>2486715</v>
      </c>
      <c r="P98" s="6">
        <f>+O98</f>
        <v>2486715</v>
      </c>
      <c r="Q98" s="6">
        <f t="shared" si="45"/>
        <v>2486715</v>
      </c>
      <c r="R98" s="6">
        <f t="shared" si="46"/>
        <v>2486715</v>
      </c>
      <c r="S98" s="21">
        <f t="shared" si="47"/>
        <v>27469</v>
      </c>
      <c r="T98" s="84">
        <f t="shared" si="21"/>
        <v>98.90743875547693</v>
      </c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ht="12.75">
      <c r="A99" s="85" t="s">
        <v>127</v>
      </c>
      <c r="B99" s="21">
        <v>1373796</v>
      </c>
      <c r="C99" s="6">
        <v>1314421</v>
      </c>
      <c r="D99" s="63">
        <f t="shared" si="44"/>
        <v>2688217</v>
      </c>
      <c r="E99" s="20">
        <f>+E100</f>
        <v>0</v>
      </c>
      <c r="F99" s="20">
        <f>+F100</f>
        <v>0</v>
      </c>
      <c r="G99" s="6">
        <f>+D99-E99</f>
        <v>2688217</v>
      </c>
      <c r="H99" s="20">
        <f>+E99/D99*100</f>
        <v>0</v>
      </c>
      <c r="I99" s="20">
        <f>+F99/D99*100</f>
        <v>0</v>
      </c>
      <c r="J99" s="6"/>
      <c r="K99" s="21"/>
      <c r="L99" s="21"/>
      <c r="M99" s="21"/>
      <c r="N99" s="21">
        <v>2120006</v>
      </c>
      <c r="O99" s="6">
        <f>+N99</f>
        <v>2120006</v>
      </c>
      <c r="P99" s="6">
        <f>+P100</f>
        <v>0</v>
      </c>
      <c r="Q99" s="6">
        <f t="shared" si="45"/>
        <v>2120006</v>
      </c>
      <c r="R99" s="6">
        <f t="shared" si="46"/>
        <v>2120006</v>
      </c>
      <c r="S99" s="21">
        <f t="shared" si="47"/>
        <v>568211</v>
      </c>
      <c r="T99" s="84">
        <f t="shared" si="21"/>
        <v>78.86290429678854</v>
      </c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ht="12.75">
      <c r="A100" s="85" t="s">
        <v>128</v>
      </c>
      <c r="B100" s="21">
        <v>630237</v>
      </c>
      <c r="C100" s="6">
        <v>573049</v>
      </c>
      <c r="D100" s="63">
        <f t="shared" si="44"/>
        <v>1203286</v>
      </c>
      <c r="E100" s="20">
        <v>0</v>
      </c>
      <c r="F100" s="20">
        <v>0</v>
      </c>
      <c r="G100" s="6">
        <f>+D100-E100</f>
        <v>1203286</v>
      </c>
      <c r="H100" s="20">
        <f>+E100/D100*100</f>
        <v>0</v>
      </c>
      <c r="I100" s="20">
        <f>+F100/D100*100</f>
        <v>0</v>
      </c>
      <c r="J100" s="6"/>
      <c r="K100" s="21"/>
      <c r="L100" s="21"/>
      <c r="M100" s="21"/>
      <c r="N100" s="21">
        <v>890870</v>
      </c>
      <c r="O100" s="6">
        <v>890870</v>
      </c>
      <c r="P100" s="6">
        <v>0</v>
      </c>
      <c r="Q100" s="6">
        <f t="shared" si="45"/>
        <v>890870</v>
      </c>
      <c r="R100" s="6">
        <f t="shared" si="46"/>
        <v>890870</v>
      </c>
      <c r="S100" s="21">
        <f t="shared" si="47"/>
        <v>312416</v>
      </c>
      <c r="T100" s="84">
        <f t="shared" si="21"/>
        <v>74.03643024185439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ht="25.5">
      <c r="A101" s="86" t="s">
        <v>129</v>
      </c>
      <c r="B101" s="3">
        <v>186242</v>
      </c>
      <c r="C101" s="6">
        <v>91142</v>
      </c>
      <c r="D101" s="63">
        <f t="shared" si="44"/>
        <v>277384</v>
      </c>
      <c r="E101" s="20" t="s">
        <v>0</v>
      </c>
      <c r="F101" s="20"/>
      <c r="G101" s="6"/>
      <c r="H101" s="20" t="s">
        <v>0</v>
      </c>
      <c r="I101" s="6"/>
      <c r="J101" s="6"/>
      <c r="K101" s="21"/>
      <c r="L101" s="21"/>
      <c r="M101" s="21"/>
      <c r="N101" s="21">
        <v>184926</v>
      </c>
      <c r="O101" s="6">
        <f>+N101</f>
        <v>184926</v>
      </c>
      <c r="P101" s="21"/>
      <c r="Q101" s="21">
        <f t="shared" si="45"/>
        <v>184926</v>
      </c>
      <c r="R101" s="6">
        <f t="shared" si="46"/>
        <v>184926</v>
      </c>
      <c r="S101" s="21">
        <f t="shared" si="47"/>
        <v>92458</v>
      </c>
      <c r="T101" s="84">
        <f t="shared" si="21"/>
        <v>66.6678683702016</v>
      </c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ht="12.75">
      <c r="A102" s="85" t="s">
        <v>130</v>
      </c>
      <c r="B102" s="3">
        <v>476425</v>
      </c>
      <c r="C102" s="6">
        <v>426140</v>
      </c>
      <c r="D102" s="63">
        <f t="shared" si="44"/>
        <v>902565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>
        <v>668304</v>
      </c>
      <c r="O102" s="8">
        <f>+N102</f>
        <v>668304</v>
      </c>
      <c r="P102" s="21"/>
      <c r="Q102" s="21">
        <f t="shared" si="45"/>
        <v>668304</v>
      </c>
      <c r="R102" s="6">
        <f t="shared" si="46"/>
        <v>668304</v>
      </c>
      <c r="S102" s="21">
        <f t="shared" si="47"/>
        <v>234261</v>
      </c>
      <c r="T102" s="84">
        <f t="shared" si="21"/>
        <v>74.04497183028369</v>
      </c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</row>
    <row r="103" spans="1:40" ht="12.75">
      <c r="A103" s="81" t="s">
        <v>146</v>
      </c>
      <c r="B103" s="3">
        <v>317884</v>
      </c>
      <c r="C103" s="6">
        <v>247759</v>
      </c>
      <c r="D103" s="63">
        <f t="shared" si="44"/>
        <v>565643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>
        <v>445937</v>
      </c>
      <c r="O103" s="8">
        <f>+N103</f>
        <v>445937</v>
      </c>
      <c r="P103" s="3"/>
      <c r="Q103" s="3">
        <f t="shared" si="45"/>
        <v>445937</v>
      </c>
      <c r="R103" s="8">
        <f t="shared" si="46"/>
        <v>445937</v>
      </c>
      <c r="S103" s="21">
        <f t="shared" si="47"/>
        <v>119706</v>
      </c>
      <c r="T103" s="84">
        <f t="shared" si="21"/>
        <v>78.83718175598389</v>
      </c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spans="1:40" ht="25.5">
      <c r="A104" s="87" t="s">
        <v>147</v>
      </c>
      <c r="B104" s="75">
        <f>+B105</f>
        <v>1802229</v>
      </c>
      <c r="C104" s="75">
        <f>+C105</f>
        <v>1355161</v>
      </c>
      <c r="D104" s="75">
        <f aca="true" t="shared" si="48" ref="D104:R104">+D105</f>
        <v>3157390</v>
      </c>
      <c r="E104" s="75">
        <f t="shared" si="48"/>
        <v>0</v>
      </c>
      <c r="F104" s="75">
        <f t="shared" si="48"/>
        <v>0</v>
      </c>
      <c r="G104" s="75">
        <f t="shared" si="48"/>
        <v>0</v>
      </c>
      <c r="H104" s="75">
        <f t="shared" si="48"/>
        <v>0</v>
      </c>
      <c r="I104" s="75">
        <f t="shared" si="48"/>
        <v>0</v>
      </c>
      <c r="J104" s="75">
        <f t="shared" si="48"/>
        <v>0</v>
      </c>
      <c r="K104" s="75">
        <f t="shared" si="48"/>
        <v>0</v>
      </c>
      <c r="L104" s="75">
        <f t="shared" si="48"/>
        <v>0</v>
      </c>
      <c r="M104" s="75">
        <f t="shared" si="48"/>
        <v>0</v>
      </c>
      <c r="N104" s="75">
        <f t="shared" si="48"/>
        <v>2547936</v>
      </c>
      <c r="O104" s="75">
        <f t="shared" si="48"/>
        <v>2547936</v>
      </c>
      <c r="P104" s="75">
        <f t="shared" si="48"/>
        <v>0</v>
      </c>
      <c r="Q104" s="75">
        <f t="shared" si="48"/>
        <v>2547936</v>
      </c>
      <c r="R104" s="75">
        <f t="shared" si="48"/>
        <v>2547936</v>
      </c>
      <c r="S104" s="75">
        <f>+S107+S108</f>
        <v>609454</v>
      </c>
      <c r="T104" s="84">
        <f t="shared" si="21"/>
        <v>80.69753815651535</v>
      </c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ht="12.75">
      <c r="A105" s="87" t="s">
        <v>121</v>
      </c>
      <c r="B105" s="75">
        <f>+B106+B107+B108</f>
        <v>1802229</v>
      </c>
      <c r="C105" s="75">
        <f>+C106+C107+C108</f>
        <v>1355161</v>
      </c>
      <c r="D105" s="75">
        <f aca="true" t="shared" si="49" ref="D105:R105">+D106+D107+D108</f>
        <v>3157390</v>
      </c>
      <c r="E105" s="75">
        <f t="shared" si="49"/>
        <v>0</v>
      </c>
      <c r="F105" s="75">
        <f t="shared" si="49"/>
        <v>0</v>
      </c>
      <c r="G105" s="75">
        <f t="shared" si="49"/>
        <v>0</v>
      </c>
      <c r="H105" s="75">
        <f t="shared" si="49"/>
        <v>0</v>
      </c>
      <c r="I105" s="75">
        <f t="shared" si="49"/>
        <v>0</v>
      </c>
      <c r="J105" s="75">
        <f t="shared" si="49"/>
        <v>0</v>
      </c>
      <c r="K105" s="75">
        <f t="shared" si="49"/>
        <v>0</v>
      </c>
      <c r="L105" s="75">
        <f t="shared" si="49"/>
        <v>0</v>
      </c>
      <c r="M105" s="75">
        <f t="shared" si="49"/>
        <v>0</v>
      </c>
      <c r="N105" s="75">
        <f t="shared" si="49"/>
        <v>2547936</v>
      </c>
      <c r="O105" s="75">
        <f t="shared" si="49"/>
        <v>2547936</v>
      </c>
      <c r="P105" s="75">
        <f t="shared" si="49"/>
        <v>0</v>
      </c>
      <c r="Q105" s="75">
        <f t="shared" si="49"/>
        <v>2547936</v>
      </c>
      <c r="R105" s="75">
        <f t="shared" si="49"/>
        <v>2547936</v>
      </c>
      <c r="S105" s="75">
        <f>+S106+S107+S108</f>
        <v>609454</v>
      </c>
      <c r="T105" s="8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ht="12.75">
      <c r="A106" s="87" t="s">
        <v>133</v>
      </c>
      <c r="B106" s="20"/>
      <c r="C106" s="20">
        <v>0</v>
      </c>
      <c r="D106" s="20">
        <f>+C106</f>
        <v>0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8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40" ht="12.75">
      <c r="A107" s="85" t="s">
        <v>134</v>
      </c>
      <c r="B107" s="3">
        <v>1712570</v>
      </c>
      <c r="C107" s="6">
        <v>933995</v>
      </c>
      <c r="D107" s="15">
        <f>+B107+C107</f>
        <v>2646565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>
        <v>2408108</v>
      </c>
      <c r="O107" s="6">
        <f>+N107</f>
        <v>2408108</v>
      </c>
      <c r="P107" s="21"/>
      <c r="Q107" s="3">
        <f>+O107</f>
        <v>2408108</v>
      </c>
      <c r="R107" s="6">
        <f>+Q107</f>
        <v>2408108</v>
      </c>
      <c r="S107" s="21">
        <f>+D107-O107</f>
        <v>238457</v>
      </c>
      <c r="T107" s="84">
        <f>+O107/D107*100</f>
        <v>90.98994356836126</v>
      </c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</row>
    <row r="108" spans="1:40" ht="12.75">
      <c r="A108" s="81" t="s">
        <v>148</v>
      </c>
      <c r="B108" s="3">
        <v>89659</v>
      </c>
      <c r="C108" s="6">
        <v>421166</v>
      </c>
      <c r="D108" s="15">
        <f>+B108+C108</f>
        <v>510825</v>
      </c>
      <c r="E108" s="21"/>
      <c r="F108" s="21"/>
      <c r="G108" s="21"/>
      <c r="H108" s="21"/>
      <c r="I108" s="21"/>
      <c r="J108" s="21"/>
      <c r="K108" s="21"/>
      <c r="L108" s="21"/>
      <c r="M108" s="21"/>
      <c r="N108" s="21">
        <v>139828</v>
      </c>
      <c r="O108" s="6">
        <f>+N108</f>
        <v>139828</v>
      </c>
      <c r="P108" s="21"/>
      <c r="Q108" s="3">
        <f>+O108</f>
        <v>139828</v>
      </c>
      <c r="R108" s="6">
        <f>+Q108</f>
        <v>139828</v>
      </c>
      <c r="S108" s="21">
        <f>+D108-O108</f>
        <v>370997</v>
      </c>
      <c r="T108" s="84">
        <f>+O108/D108*100</f>
        <v>27.372975089316302</v>
      </c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ht="12.75">
      <c r="A109" s="83" t="s">
        <v>172</v>
      </c>
      <c r="B109" s="19">
        <f>+B110+B119</f>
        <v>2107874200</v>
      </c>
      <c r="C109" s="19">
        <f>+C110+C119</f>
        <v>427164000</v>
      </c>
      <c r="D109" s="19">
        <f>+D110+D119</f>
        <v>2524998200</v>
      </c>
      <c r="E109" s="19">
        <f aca="true" t="shared" si="50" ref="E109:R109">+E110+E119</f>
        <v>0</v>
      </c>
      <c r="F109" s="19">
        <f t="shared" si="50"/>
        <v>0</v>
      </c>
      <c r="G109" s="19">
        <f t="shared" si="50"/>
        <v>0</v>
      </c>
      <c r="H109" s="19">
        <f t="shared" si="50"/>
        <v>0</v>
      </c>
      <c r="I109" s="19">
        <f t="shared" si="50"/>
        <v>0</v>
      </c>
      <c r="J109" s="19">
        <f t="shared" si="50"/>
        <v>0</v>
      </c>
      <c r="K109" s="19">
        <f t="shared" si="50"/>
        <v>0</v>
      </c>
      <c r="L109" s="19">
        <f t="shared" si="50"/>
        <v>0</v>
      </c>
      <c r="M109" s="19">
        <f t="shared" si="50"/>
        <v>0</v>
      </c>
      <c r="N109" s="19">
        <f t="shared" si="50"/>
        <v>2379173306</v>
      </c>
      <c r="O109" s="19">
        <f t="shared" si="50"/>
        <v>2379173306</v>
      </c>
      <c r="P109" s="19">
        <f t="shared" si="50"/>
        <v>0</v>
      </c>
      <c r="Q109" s="19">
        <f t="shared" si="50"/>
        <v>2025134059</v>
      </c>
      <c r="R109" s="19">
        <f t="shared" si="50"/>
        <v>1706694106</v>
      </c>
      <c r="S109" s="19">
        <f>+S110+S119</f>
        <v>145824894</v>
      </c>
      <c r="T109" s="84">
        <f>+O109/D109*100</f>
        <v>94.22475255625925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ht="12.75">
      <c r="A110" s="83" t="s">
        <v>149</v>
      </c>
      <c r="B110" s="19">
        <f>+B111</f>
        <v>10040000</v>
      </c>
      <c r="C110" s="19">
        <f aca="true" t="shared" si="51" ref="C110:S111">+C111</f>
        <v>50620000</v>
      </c>
      <c r="D110" s="19">
        <f>+D111</f>
        <v>50620000</v>
      </c>
      <c r="E110" s="19">
        <f t="shared" si="51"/>
        <v>0</v>
      </c>
      <c r="F110" s="19">
        <f t="shared" si="51"/>
        <v>0</v>
      </c>
      <c r="G110" s="19">
        <f t="shared" si="51"/>
        <v>0</v>
      </c>
      <c r="H110" s="19">
        <f t="shared" si="51"/>
        <v>0</v>
      </c>
      <c r="I110" s="19">
        <f t="shared" si="51"/>
        <v>0</v>
      </c>
      <c r="J110" s="19">
        <f t="shared" si="51"/>
        <v>0</v>
      </c>
      <c r="K110" s="19">
        <f t="shared" si="51"/>
        <v>0</v>
      </c>
      <c r="L110" s="19">
        <f t="shared" si="51"/>
        <v>0</v>
      </c>
      <c r="M110" s="19">
        <f t="shared" si="51"/>
        <v>0</v>
      </c>
      <c r="N110" s="19">
        <f>+N111</f>
        <v>42947170</v>
      </c>
      <c r="O110" s="19">
        <f t="shared" si="51"/>
        <v>42947170</v>
      </c>
      <c r="P110" s="19">
        <f t="shared" si="51"/>
        <v>0</v>
      </c>
      <c r="Q110" s="19">
        <f t="shared" si="51"/>
        <v>42947170</v>
      </c>
      <c r="R110" s="19">
        <f t="shared" si="51"/>
        <v>42837076</v>
      </c>
      <c r="S110" s="19">
        <f t="shared" si="51"/>
        <v>7672830</v>
      </c>
      <c r="T110" s="84">
        <f aca="true" t="shared" si="52" ref="T110:T147">+O110/D110*100</f>
        <v>84.84229553536153</v>
      </c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1:40" ht="12.75">
      <c r="A111" s="83" t="s">
        <v>150</v>
      </c>
      <c r="B111" s="21">
        <f>+B112</f>
        <v>10040000</v>
      </c>
      <c r="C111" s="21">
        <f>+C112</f>
        <v>50620000</v>
      </c>
      <c r="D111" s="21">
        <f>+D112</f>
        <v>50620000</v>
      </c>
      <c r="E111" s="21">
        <f t="shared" si="51"/>
        <v>0</v>
      </c>
      <c r="F111" s="21">
        <f t="shared" si="51"/>
        <v>0</v>
      </c>
      <c r="G111" s="21">
        <f t="shared" si="51"/>
        <v>0</v>
      </c>
      <c r="H111" s="21">
        <f t="shared" si="51"/>
        <v>0</v>
      </c>
      <c r="I111" s="21">
        <f t="shared" si="51"/>
        <v>0</v>
      </c>
      <c r="J111" s="21">
        <f t="shared" si="51"/>
        <v>0</v>
      </c>
      <c r="K111" s="21">
        <f t="shared" si="51"/>
        <v>0</v>
      </c>
      <c r="L111" s="21">
        <f t="shared" si="51"/>
        <v>0</v>
      </c>
      <c r="M111" s="21">
        <f t="shared" si="51"/>
        <v>0</v>
      </c>
      <c r="N111" s="21">
        <f>+N112</f>
        <v>42947170</v>
      </c>
      <c r="O111" s="21">
        <f t="shared" si="51"/>
        <v>42947170</v>
      </c>
      <c r="P111" s="21">
        <f t="shared" si="51"/>
        <v>0</v>
      </c>
      <c r="Q111" s="21">
        <f t="shared" si="51"/>
        <v>42947170</v>
      </c>
      <c r="R111" s="21">
        <f t="shared" si="51"/>
        <v>42837076</v>
      </c>
      <c r="S111" s="21">
        <f t="shared" si="51"/>
        <v>7672830</v>
      </c>
      <c r="T111" s="84">
        <f t="shared" si="52"/>
        <v>84.84229553536153</v>
      </c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1:40" ht="12.75">
      <c r="A112" s="81" t="s">
        <v>151</v>
      </c>
      <c r="B112" s="3">
        <f>+B114+B115+B117</f>
        <v>10040000</v>
      </c>
      <c r="C112" s="6">
        <f>+C116+C117</f>
        <v>50620000</v>
      </c>
      <c r="D112" s="6">
        <f>+D116+D117</f>
        <v>50620000</v>
      </c>
      <c r="E112" s="6">
        <f aca="true" t="shared" si="53" ref="E112:R112">+E116+E117</f>
        <v>0</v>
      </c>
      <c r="F112" s="6">
        <f t="shared" si="53"/>
        <v>0</v>
      </c>
      <c r="G112" s="6">
        <f t="shared" si="53"/>
        <v>0</v>
      </c>
      <c r="H112" s="6">
        <f t="shared" si="53"/>
        <v>0</v>
      </c>
      <c r="I112" s="6">
        <f t="shared" si="53"/>
        <v>0</v>
      </c>
      <c r="J112" s="6">
        <f t="shared" si="53"/>
        <v>0</v>
      </c>
      <c r="K112" s="6">
        <f t="shared" si="53"/>
        <v>0</v>
      </c>
      <c r="L112" s="6">
        <f t="shared" si="53"/>
        <v>0</v>
      </c>
      <c r="M112" s="6">
        <f t="shared" si="53"/>
        <v>0</v>
      </c>
      <c r="N112" s="6">
        <f>+N116+N117</f>
        <v>42947170</v>
      </c>
      <c r="O112" s="6">
        <f t="shared" si="53"/>
        <v>42947170</v>
      </c>
      <c r="P112" s="6">
        <f t="shared" si="53"/>
        <v>0</v>
      </c>
      <c r="Q112" s="6">
        <f t="shared" si="53"/>
        <v>42947170</v>
      </c>
      <c r="R112" s="6">
        <f t="shared" si="53"/>
        <v>42837076</v>
      </c>
      <c r="S112" s="6">
        <f>+S116+S117</f>
        <v>7672830</v>
      </c>
      <c r="T112" s="84">
        <f t="shared" si="52"/>
        <v>84.84229553536153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1:40" ht="25.5">
      <c r="A113" s="86" t="s">
        <v>153</v>
      </c>
      <c r="B113" s="21">
        <f>+B114</f>
        <v>10040000</v>
      </c>
      <c r="C113" s="6">
        <f>+C114</f>
        <v>-10040000</v>
      </c>
      <c r="D113" s="21">
        <f>+D114</f>
        <v>0</v>
      </c>
      <c r="E113" s="21">
        <f aca="true" t="shared" si="54" ref="E113:M113">+E114</f>
        <v>0</v>
      </c>
      <c r="F113" s="21">
        <f t="shared" si="54"/>
        <v>0</v>
      </c>
      <c r="G113" s="21">
        <f t="shared" si="54"/>
        <v>0</v>
      </c>
      <c r="H113" s="21">
        <f t="shared" si="54"/>
        <v>0</v>
      </c>
      <c r="I113" s="21">
        <f t="shared" si="54"/>
        <v>0</v>
      </c>
      <c r="J113" s="21">
        <f t="shared" si="54"/>
        <v>0</v>
      </c>
      <c r="K113" s="21">
        <f t="shared" si="54"/>
        <v>0</v>
      </c>
      <c r="L113" s="21">
        <f t="shared" si="54"/>
        <v>0</v>
      </c>
      <c r="M113" s="21">
        <f t="shared" si="54"/>
        <v>0</v>
      </c>
      <c r="N113" s="21">
        <f aca="true" t="shared" si="55" ref="N113:S113">+N114</f>
        <v>0</v>
      </c>
      <c r="O113" s="21">
        <f t="shared" si="55"/>
        <v>0</v>
      </c>
      <c r="P113" s="21">
        <f t="shared" si="55"/>
        <v>0</v>
      </c>
      <c r="Q113" s="21">
        <f t="shared" si="55"/>
        <v>0</v>
      </c>
      <c r="R113" s="21">
        <f t="shared" si="55"/>
        <v>0</v>
      </c>
      <c r="S113" s="21">
        <f t="shared" si="55"/>
        <v>0</v>
      </c>
      <c r="T113" s="84" t="e">
        <f t="shared" si="52"/>
        <v>#DIV/0!</v>
      </c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1:40" ht="25.5">
      <c r="A114" s="86" t="s">
        <v>152</v>
      </c>
      <c r="B114" s="21">
        <v>10040000</v>
      </c>
      <c r="C114" s="6">
        <v>-10040000</v>
      </c>
      <c r="D114" s="63">
        <f>+B114+C114</f>
        <v>0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>
        <v>0</v>
      </c>
      <c r="O114" s="6">
        <v>0</v>
      </c>
      <c r="P114" s="6"/>
      <c r="Q114" s="6">
        <v>0</v>
      </c>
      <c r="R114" s="6">
        <v>0</v>
      </c>
      <c r="S114" s="21">
        <f>+D114-O114</f>
        <v>0</v>
      </c>
      <c r="T114" s="84" t="e">
        <f t="shared" si="52"/>
        <v>#DIV/0!</v>
      </c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</row>
    <row r="115" spans="1:40" ht="12.75">
      <c r="A115" s="86" t="s">
        <v>178</v>
      </c>
      <c r="B115" s="21">
        <f>+B116</f>
        <v>0</v>
      </c>
      <c r="C115" s="6">
        <f>+C116</f>
        <v>30120000</v>
      </c>
      <c r="D115" s="63">
        <f>+D116</f>
        <v>30120000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63">
        <f>+N116</f>
        <v>27633647</v>
      </c>
      <c r="O115" s="63">
        <f>+O116</f>
        <v>27633647</v>
      </c>
      <c r="P115" s="63">
        <f>+P116</f>
        <v>0</v>
      </c>
      <c r="Q115" s="63">
        <f>+Q116</f>
        <v>27633647</v>
      </c>
      <c r="R115" s="63">
        <v>27523553</v>
      </c>
      <c r="S115" s="63">
        <f>+S116</f>
        <v>2486353</v>
      </c>
      <c r="T115" s="84">
        <f t="shared" si="52"/>
        <v>91.74517596281541</v>
      </c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</row>
    <row r="116" spans="1:40" ht="25.5">
      <c r="A116" s="86" t="s">
        <v>179</v>
      </c>
      <c r="B116" s="21"/>
      <c r="C116" s="6">
        <v>30120000</v>
      </c>
      <c r="D116" s="63">
        <f>+B116+C116</f>
        <v>30120000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>
        <v>27633647</v>
      </c>
      <c r="O116" s="6">
        <v>27633647</v>
      </c>
      <c r="P116" s="6"/>
      <c r="Q116" s="6">
        <f>+O116</f>
        <v>27633647</v>
      </c>
      <c r="R116" s="6">
        <v>27523553</v>
      </c>
      <c r="S116" s="21">
        <f>+D116-O116</f>
        <v>2486353</v>
      </c>
      <c r="T116" s="84">
        <f t="shared" si="52"/>
        <v>91.74517596281541</v>
      </c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</row>
    <row r="117" spans="1:40" ht="25.5">
      <c r="A117" s="86" t="s">
        <v>180</v>
      </c>
      <c r="B117" s="21">
        <f>+B118</f>
        <v>0</v>
      </c>
      <c r="C117" s="6">
        <f>+C118</f>
        <v>20500000</v>
      </c>
      <c r="D117" s="63">
        <f>+D118</f>
        <v>20500000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>
        <f aca="true" t="shared" si="56" ref="N117:S117">+N118</f>
        <v>15313523</v>
      </c>
      <c r="O117" s="21">
        <f t="shared" si="56"/>
        <v>15313523</v>
      </c>
      <c r="P117" s="21">
        <f t="shared" si="56"/>
        <v>0</v>
      </c>
      <c r="Q117" s="21">
        <f t="shared" si="56"/>
        <v>15313523</v>
      </c>
      <c r="R117" s="21">
        <f t="shared" si="56"/>
        <v>15313523</v>
      </c>
      <c r="S117" s="21">
        <f t="shared" si="56"/>
        <v>5186477</v>
      </c>
      <c r="T117" s="84">
        <f t="shared" si="52"/>
        <v>74.70011219512195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</row>
    <row r="118" spans="1:40" ht="12.75">
      <c r="A118" s="86" t="s">
        <v>181</v>
      </c>
      <c r="B118" s="21"/>
      <c r="C118" s="6">
        <f>29000000-8500000</f>
        <v>20500000</v>
      </c>
      <c r="D118" s="63">
        <f>+C118</f>
        <v>20500000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>
        <v>15313523</v>
      </c>
      <c r="O118" s="6">
        <f>+N118</f>
        <v>15313523</v>
      </c>
      <c r="P118" s="6"/>
      <c r="Q118" s="6">
        <f>+O118</f>
        <v>15313523</v>
      </c>
      <c r="R118" s="6">
        <f>+Q118</f>
        <v>15313523</v>
      </c>
      <c r="S118" s="21">
        <f>+D118-O118</f>
        <v>5186477</v>
      </c>
      <c r="T118" s="84">
        <f t="shared" si="52"/>
        <v>74.70011219512195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</row>
    <row r="119" spans="1:40" ht="12.75">
      <c r="A119" s="87" t="s">
        <v>154</v>
      </c>
      <c r="B119" s="19">
        <f>+B120+B123</f>
        <v>2097834200</v>
      </c>
      <c r="C119" s="19">
        <f aca="true" t="shared" si="57" ref="C119:R119">+C120+C123</f>
        <v>376544000</v>
      </c>
      <c r="D119" s="19">
        <f>+D120+D123</f>
        <v>2474378200</v>
      </c>
      <c r="E119" s="19">
        <f t="shared" si="57"/>
        <v>0</v>
      </c>
      <c r="F119" s="19">
        <f t="shared" si="57"/>
        <v>0</v>
      </c>
      <c r="G119" s="19">
        <f t="shared" si="57"/>
        <v>0</v>
      </c>
      <c r="H119" s="19">
        <f t="shared" si="57"/>
        <v>0</v>
      </c>
      <c r="I119" s="19">
        <f t="shared" si="57"/>
        <v>0</v>
      </c>
      <c r="J119" s="19">
        <f t="shared" si="57"/>
        <v>0</v>
      </c>
      <c r="K119" s="19">
        <f t="shared" si="57"/>
        <v>0</v>
      </c>
      <c r="L119" s="19">
        <f t="shared" si="57"/>
        <v>0</v>
      </c>
      <c r="M119" s="19">
        <f t="shared" si="57"/>
        <v>0</v>
      </c>
      <c r="N119" s="19">
        <f t="shared" si="57"/>
        <v>2336226136</v>
      </c>
      <c r="O119" s="19">
        <f t="shared" si="57"/>
        <v>2336226136</v>
      </c>
      <c r="P119" s="19">
        <f t="shared" si="57"/>
        <v>0</v>
      </c>
      <c r="Q119" s="19">
        <f t="shared" si="57"/>
        <v>1982186889</v>
      </c>
      <c r="R119" s="19">
        <f t="shared" si="57"/>
        <v>1663857030</v>
      </c>
      <c r="S119" s="19">
        <f>+S120+S123</f>
        <v>138152064</v>
      </c>
      <c r="T119" s="84">
        <f t="shared" si="52"/>
        <v>94.41669571773627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</row>
    <row r="120" spans="1:40" ht="12.75">
      <c r="A120" s="86" t="s">
        <v>155</v>
      </c>
      <c r="B120" s="21">
        <f>+B121+B122</f>
        <v>310739446</v>
      </c>
      <c r="C120" s="6">
        <v>-60000000</v>
      </c>
      <c r="D120" s="21">
        <f>+D121+D122</f>
        <v>250739446</v>
      </c>
      <c r="E120" s="21">
        <f aca="true" t="shared" si="58" ref="E120:R120">+E121+E122</f>
        <v>0</v>
      </c>
      <c r="F120" s="21">
        <f t="shared" si="58"/>
        <v>0</v>
      </c>
      <c r="G120" s="21">
        <f t="shared" si="58"/>
        <v>0</v>
      </c>
      <c r="H120" s="21">
        <f t="shared" si="58"/>
        <v>0</v>
      </c>
      <c r="I120" s="21">
        <f t="shared" si="58"/>
        <v>0</v>
      </c>
      <c r="J120" s="21">
        <f t="shared" si="58"/>
        <v>0</v>
      </c>
      <c r="K120" s="21">
        <f t="shared" si="58"/>
        <v>0</v>
      </c>
      <c r="L120" s="21">
        <f t="shared" si="58"/>
        <v>0</v>
      </c>
      <c r="M120" s="21">
        <f t="shared" si="58"/>
        <v>0</v>
      </c>
      <c r="N120" s="21">
        <f t="shared" si="58"/>
        <v>215297592</v>
      </c>
      <c r="O120" s="21">
        <f t="shared" si="58"/>
        <v>215297592</v>
      </c>
      <c r="P120" s="21">
        <f t="shared" si="58"/>
        <v>0</v>
      </c>
      <c r="Q120" s="21">
        <f t="shared" si="58"/>
        <v>139710052</v>
      </c>
      <c r="R120" s="6">
        <f t="shared" si="58"/>
        <v>125225949</v>
      </c>
      <c r="S120" s="21">
        <f>+S121+S122</f>
        <v>35441854</v>
      </c>
      <c r="T120" s="84">
        <f t="shared" si="52"/>
        <v>85.86506648020591</v>
      </c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ht="12.75">
      <c r="A121" s="86" t="s">
        <v>156</v>
      </c>
      <c r="B121" s="21">
        <v>182609976</v>
      </c>
      <c r="C121" s="6">
        <v>-17000000</v>
      </c>
      <c r="D121" s="63">
        <f>+B121+C121</f>
        <v>165609976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>
        <v>150623855</v>
      </c>
      <c r="O121" s="6">
        <f>+N121</f>
        <v>150623855</v>
      </c>
      <c r="P121" s="6"/>
      <c r="Q121" s="6">
        <v>87205159</v>
      </c>
      <c r="R121" s="6">
        <v>87087172</v>
      </c>
      <c r="S121" s="21">
        <f>+D121-O121</f>
        <v>14986121</v>
      </c>
      <c r="T121" s="84">
        <f t="shared" si="52"/>
        <v>90.95095515260506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</row>
    <row r="122" spans="1:40" ht="25.5">
      <c r="A122" s="86" t="s">
        <v>157</v>
      </c>
      <c r="B122" s="21">
        <f>124113470+4016000</f>
        <v>128129470</v>
      </c>
      <c r="C122" s="6">
        <v>-43000000</v>
      </c>
      <c r="D122" s="63">
        <f>+B122+C122</f>
        <v>85129470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>
        <v>64673737</v>
      </c>
      <c r="O122" s="6">
        <f>+N122</f>
        <v>64673737</v>
      </c>
      <c r="P122" s="6"/>
      <c r="Q122" s="6">
        <v>52504893</v>
      </c>
      <c r="R122" s="6">
        <v>38138777</v>
      </c>
      <c r="S122" s="21">
        <f>+D122-O122</f>
        <v>20455733</v>
      </c>
      <c r="T122" s="84">
        <f t="shared" si="52"/>
        <v>75.97103212318837</v>
      </c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</row>
    <row r="123" spans="1:40" ht="12.75">
      <c r="A123" s="87" t="s">
        <v>158</v>
      </c>
      <c r="B123" s="19">
        <f>+B124+B125+B126+B127+B128</f>
        <v>1787094754</v>
      </c>
      <c r="C123" s="19">
        <f>+C124+C125+C126+C127+C128+C129</f>
        <v>436544000</v>
      </c>
      <c r="D123" s="19">
        <f>+D124+D125+D126+D127+D128+D129</f>
        <v>2223638754</v>
      </c>
      <c r="E123" s="19">
        <f aca="true" t="shared" si="59" ref="E123:P123">+E124+E125+E126+E127+E128</f>
        <v>0</v>
      </c>
      <c r="F123" s="19">
        <f t="shared" si="59"/>
        <v>0</v>
      </c>
      <c r="G123" s="19">
        <f t="shared" si="59"/>
        <v>0</v>
      </c>
      <c r="H123" s="19">
        <f t="shared" si="59"/>
        <v>0</v>
      </c>
      <c r="I123" s="19">
        <f t="shared" si="59"/>
        <v>0</v>
      </c>
      <c r="J123" s="19">
        <f t="shared" si="59"/>
        <v>0</v>
      </c>
      <c r="K123" s="19">
        <f t="shared" si="59"/>
        <v>0</v>
      </c>
      <c r="L123" s="19">
        <f t="shared" si="59"/>
        <v>0</v>
      </c>
      <c r="M123" s="19">
        <f t="shared" si="59"/>
        <v>0</v>
      </c>
      <c r="N123" s="19">
        <f>+N124+N125+N126+N127+N128+N129</f>
        <v>2120928544</v>
      </c>
      <c r="O123" s="19">
        <f>+O124+O125+O126+O127+O128+O129</f>
        <v>2120928544</v>
      </c>
      <c r="P123" s="19">
        <f t="shared" si="59"/>
        <v>0</v>
      </c>
      <c r="Q123" s="19">
        <f>+Q124+Q125+Q126+Q127+Q128+Q129</f>
        <v>1842476837</v>
      </c>
      <c r="R123" s="19">
        <f>+R124+R125+R126+R127+R128+R129</f>
        <v>1538631081</v>
      </c>
      <c r="S123" s="19">
        <f>+S124+S125+S126+S127+S128+S129</f>
        <v>102710210</v>
      </c>
      <c r="T123" s="84">
        <f t="shared" si="52"/>
        <v>95.3809848917573</v>
      </c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</row>
    <row r="124" spans="1:40" ht="25.5">
      <c r="A124" s="86" t="s">
        <v>137</v>
      </c>
      <c r="B124" s="21">
        <v>333299234</v>
      </c>
      <c r="C124" s="6">
        <f>+D124-B124</f>
        <v>20800000</v>
      </c>
      <c r="D124" s="63">
        <v>354099234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>
        <v>351686178</v>
      </c>
      <c r="O124" s="6">
        <f>+N124</f>
        <v>351686178</v>
      </c>
      <c r="P124" s="6"/>
      <c r="Q124" s="6">
        <v>270064716</v>
      </c>
      <c r="R124" s="6">
        <v>257003918</v>
      </c>
      <c r="S124" s="21">
        <f>+D124-O124</f>
        <v>2413056</v>
      </c>
      <c r="T124" s="84">
        <f t="shared" si="52"/>
        <v>99.3185367918644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</row>
    <row r="125" spans="1:40" ht="38.25">
      <c r="A125" s="86" t="s">
        <v>159</v>
      </c>
      <c r="B125" s="21">
        <f>180720000+70280000</f>
        <v>251000000</v>
      </c>
      <c r="C125" s="6">
        <v>0</v>
      </c>
      <c r="D125" s="63">
        <f>+B125+C125</f>
        <v>251000000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>
        <v>240320643</v>
      </c>
      <c r="O125" s="6">
        <v>240320643</v>
      </c>
      <c r="P125" s="6"/>
      <c r="Q125" s="6">
        <v>237123646</v>
      </c>
      <c r="R125" s="6">
        <v>89912240</v>
      </c>
      <c r="S125" s="21">
        <f>+D125-O125</f>
        <v>10679357</v>
      </c>
      <c r="T125" s="84">
        <f t="shared" si="52"/>
        <v>95.74527609561753</v>
      </c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</row>
    <row r="126" spans="1:40" ht="25.5">
      <c r="A126" s="86" t="s">
        <v>160</v>
      </c>
      <c r="B126" s="21">
        <f>119732970+159993277+295777+753967812+11267473</f>
        <v>1045257309</v>
      </c>
      <c r="C126" s="6">
        <f>+D126-B126</f>
        <v>282744000</v>
      </c>
      <c r="D126" s="63">
        <v>1328001309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>
        <v>1261780851</v>
      </c>
      <c r="O126" s="6">
        <v>1261780851</v>
      </c>
      <c r="P126" s="6"/>
      <c r="Q126" s="6">
        <v>1068147603</v>
      </c>
      <c r="R126" s="6">
        <v>968208166</v>
      </c>
      <c r="S126" s="21">
        <f>+D126-O126</f>
        <v>66220458</v>
      </c>
      <c r="T126" s="84">
        <f t="shared" si="52"/>
        <v>95.01352464404837</v>
      </c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</row>
    <row r="127" spans="1:40" ht="25.5">
      <c r="A127" s="86" t="s">
        <v>161</v>
      </c>
      <c r="B127" s="21">
        <v>66314000</v>
      </c>
      <c r="C127" s="6">
        <v>10000000</v>
      </c>
      <c r="D127" s="63">
        <f>+B127+C127</f>
        <v>76314000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>
        <v>61802907</v>
      </c>
      <c r="O127" s="6">
        <f>+N127</f>
        <v>61802907</v>
      </c>
      <c r="P127" s="6"/>
      <c r="Q127" s="6">
        <f>+O127</f>
        <v>61802907</v>
      </c>
      <c r="R127" s="6">
        <v>31115562</v>
      </c>
      <c r="S127" s="21">
        <f>+D127-O127</f>
        <v>14511093</v>
      </c>
      <c r="T127" s="84">
        <f t="shared" si="52"/>
        <v>80.9850184762953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</row>
    <row r="128" spans="1:40" ht="12.75">
      <c r="A128" s="86" t="s">
        <v>162</v>
      </c>
      <c r="B128" s="21">
        <v>91224211</v>
      </c>
      <c r="C128" s="6">
        <f>+D128-B128</f>
        <v>100000000</v>
      </c>
      <c r="D128" s="63">
        <v>191224211</v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>
        <v>185349931</v>
      </c>
      <c r="O128" s="6">
        <f>+N128</f>
        <v>185349931</v>
      </c>
      <c r="P128" s="6"/>
      <c r="Q128" s="6">
        <f>+O128</f>
        <v>185349931</v>
      </c>
      <c r="R128" s="6">
        <v>172440759</v>
      </c>
      <c r="S128" s="21">
        <f>+D128-O128</f>
        <v>5874280</v>
      </c>
      <c r="T128" s="84">
        <f t="shared" si="52"/>
        <v>96.9280668126276</v>
      </c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</row>
    <row r="129" spans="1:40" ht="12.75">
      <c r="A129" s="86" t="s">
        <v>182</v>
      </c>
      <c r="B129" s="21"/>
      <c r="C129" s="6">
        <v>23000000</v>
      </c>
      <c r="D129" s="63">
        <v>23000000</v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>
        <v>19988034</v>
      </c>
      <c r="O129" s="6">
        <v>19988034</v>
      </c>
      <c r="P129" s="6"/>
      <c r="Q129" s="6">
        <v>19988034</v>
      </c>
      <c r="R129" s="6">
        <v>19950436</v>
      </c>
      <c r="S129" s="21">
        <v>3011966</v>
      </c>
      <c r="T129" s="84">
        <v>86.9044956521739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</row>
    <row r="130" spans="1:40" ht="12.75">
      <c r="A130" s="87" t="s">
        <v>163</v>
      </c>
      <c r="B130" s="19">
        <f>+B131+B134+B137</f>
        <v>3473764554</v>
      </c>
      <c r="C130" s="19">
        <f>+C131+C134+C137</f>
        <v>201329556</v>
      </c>
      <c r="D130" s="19">
        <f>+D131+D134+D137</f>
        <v>3675094110</v>
      </c>
      <c r="E130" s="19">
        <f aca="true" t="shared" si="60" ref="E130:R130">+E131+E134+E137</f>
        <v>0</v>
      </c>
      <c r="F130" s="19">
        <f t="shared" si="60"/>
        <v>0</v>
      </c>
      <c r="G130" s="19">
        <f t="shared" si="60"/>
        <v>0</v>
      </c>
      <c r="H130" s="19">
        <f t="shared" si="60"/>
        <v>0</v>
      </c>
      <c r="I130" s="19">
        <f t="shared" si="60"/>
        <v>0</v>
      </c>
      <c r="J130" s="19">
        <f t="shared" si="60"/>
        <v>0</v>
      </c>
      <c r="K130" s="19">
        <f t="shared" si="60"/>
        <v>0</v>
      </c>
      <c r="L130" s="19">
        <f t="shared" si="60"/>
        <v>0</v>
      </c>
      <c r="M130" s="19">
        <f t="shared" si="60"/>
        <v>0</v>
      </c>
      <c r="N130" s="19">
        <f>+N131+N134+N137</f>
        <v>3486866827</v>
      </c>
      <c r="O130" s="19">
        <f t="shared" si="60"/>
        <v>3486866827</v>
      </c>
      <c r="P130" s="19">
        <f t="shared" si="60"/>
        <v>0</v>
      </c>
      <c r="Q130" s="19">
        <f t="shared" si="60"/>
        <v>3486866827</v>
      </c>
      <c r="R130" s="19">
        <f t="shared" si="60"/>
        <v>3362920391</v>
      </c>
      <c r="S130" s="19">
        <f>+S131+S134+S137</f>
        <v>188227283</v>
      </c>
      <c r="T130" s="84">
        <f t="shared" si="52"/>
        <v>94.87830032738944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</row>
    <row r="131" spans="1:40" ht="12.75">
      <c r="A131" s="87" t="s">
        <v>164</v>
      </c>
      <c r="B131" s="19">
        <f>+B132</f>
        <v>34313826</v>
      </c>
      <c r="C131" s="19">
        <f aca="true" t="shared" si="61" ref="C131:S131">+C132</f>
        <v>0</v>
      </c>
      <c r="D131" s="19">
        <f t="shared" si="61"/>
        <v>34313826</v>
      </c>
      <c r="E131" s="19">
        <f t="shared" si="61"/>
        <v>0</v>
      </c>
      <c r="F131" s="19">
        <f t="shared" si="61"/>
        <v>0</v>
      </c>
      <c r="G131" s="19">
        <f t="shared" si="61"/>
        <v>0</v>
      </c>
      <c r="H131" s="19">
        <f t="shared" si="61"/>
        <v>0</v>
      </c>
      <c r="I131" s="19">
        <f t="shared" si="61"/>
        <v>0</v>
      </c>
      <c r="J131" s="19">
        <f t="shared" si="61"/>
        <v>0</v>
      </c>
      <c r="K131" s="19">
        <f t="shared" si="61"/>
        <v>0</v>
      </c>
      <c r="L131" s="19">
        <f t="shared" si="61"/>
        <v>0</v>
      </c>
      <c r="M131" s="19">
        <f t="shared" si="61"/>
        <v>0</v>
      </c>
      <c r="N131" s="19">
        <f t="shared" si="61"/>
        <v>34313825</v>
      </c>
      <c r="O131" s="19">
        <f t="shared" si="61"/>
        <v>34313825</v>
      </c>
      <c r="P131" s="19">
        <f t="shared" si="61"/>
        <v>0</v>
      </c>
      <c r="Q131" s="19">
        <f t="shared" si="61"/>
        <v>34313825</v>
      </c>
      <c r="R131" s="19">
        <f t="shared" si="61"/>
        <v>34313825</v>
      </c>
      <c r="S131" s="19">
        <f t="shared" si="61"/>
        <v>1</v>
      </c>
      <c r="T131" s="84">
        <f t="shared" si="52"/>
        <v>99.99999708572282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</row>
    <row r="132" spans="1:40" ht="25.5">
      <c r="A132" s="86" t="s">
        <v>165</v>
      </c>
      <c r="B132" s="21">
        <f>+B133</f>
        <v>34313826</v>
      </c>
      <c r="C132" s="6">
        <v>0</v>
      </c>
      <c r="D132" s="21">
        <f aca="true" t="shared" si="62" ref="D132:S132">+D133</f>
        <v>34313826</v>
      </c>
      <c r="E132" s="21">
        <f t="shared" si="62"/>
        <v>0</v>
      </c>
      <c r="F132" s="21">
        <f t="shared" si="62"/>
        <v>0</v>
      </c>
      <c r="G132" s="21">
        <f t="shared" si="62"/>
        <v>0</v>
      </c>
      <c r="H132" s="21">
        <f t="shared" si="62"/>
        <v>0</v>
      </c>
      <c r="I132" s="21">
        <f t="shared" si="62"/>
        <v>0</v>
      </c>
      <c r="J132" s="21">
        <f t="shared" si="62"/>
        <v>0</v>
      </c>
      <c r="K132" s="21">
        <f t="shared" si="62"/>
        <v>0</v>
      </c>
      <c r="L132" s="21">
        <f t="shared" si="62"/>
        <v>0</v>
      </c>
      <c r="M132" s="21">
        <f t="shared" si="62"/>
        <v>0</v>
      </c>
      <c r="N132" s="21">
        <f t="shared" si="62"/>
        <v>34313825</v>
      </c>
      <c r="O132" s="21">
        <f t="shared" si="62"/>
        <v>34313825</v>
      </c>
      <c r="P132" s="21">
        <f t="shared" si="62"/>
        <v>0</v>
      </c>
      <c r="Q132" s="21">
        <f t="shared" si="62"/>
        <v>34313825</v>
      </c>
      <c r="R132" s="21">
        <f t="shared" si="62"/>
        <v>34313825</v>
      </c>
      <c r="S132" s="21">
        <f t="shared" si="62"/>
        <v>1</v>
      </c>
      <c r="T132" s="84">
        <f t="shared" si="52"/>
        <v>99.99999708572282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</row>
    <row r="133" spans="1:40" ht="12.75">
      <c r="A133" s="86" t="s">
        <v>166</v>
      </c>
      <c r="B133" s="21">
        <v>34313826</v>
      </c>
      <c r="C133" s="6">
        <v>0</v>
      </c>
      <c r="D133" s="63">
        <f>+B133+C133</f>
        <v>34313826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>
        <v>34313825</v>
      </c>
      <c r="O133" s="6">
        <v>34313825</v>
      </c>
      <c r="P133" s="6"/>
      <c r="Q133" s="6">
        <v>34313825</v>
      </c>
      <c r="R133" s="6">
        <v>34313825</v>
      </c>
      <c r="S133" s="21">
        <f>+D133-O133</f>
        <v>1</v>
      </c>
      <c r="T133" s="84">
        <f t="shared" si="52"/>
        <v>99.99999708572282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</row>
    <row r="134" spans="1:40" ht="12.75">
      <c r="A134" s="87" t="s">
        <v>167</v>
      </c>
      <c r="B134" s="19">
        <f>+B135</f>
        <v>3338450728</v>
      </c>
      <c r="C134" s="19">
        <f aca="true" t="shared" si="63" ref="C134:S135">+C135</f>
        <v>201329556</v>
      </c>
      <c r="D134" s="19">
        <f>+D135</f>
        <v>3539780284</v>
      </c>
      <c r="E134" s="19">
        <f t="shared" si="63"/>
        <v>0</v>
      </c>
      <c r="F134" s="19">
        <f t="shared" si="63"/>
        <v>0</v>
      </c>
      <c r="G134" s="19">
        <f t="shared" si="63"/>
        <v>0</v>
      </c>
      <c r="H134" s="19">
        <f t="shared" si="63"/>
        <v>0</v>
      </c>
      <c r="I134" s="19">
        <f t="shared" si="63"/>
        <v>0</v>
      </c>
      <c r="J134" s="19">
        <f t="shared" si="63"/>
        <v>0</v>
      </c>
      <c r="K134" s="19">
        <f t="shared" si="63"/>
        <v>0</v>
      </c>
      <c r="L134" s="19">
        <f t="shared" si="63"/>
        <v>0</v>
      </c>
      <c r="M134" s="19">
        <f t="shared" si="63"/>
        <v>0</v>
      </c>
      <c r="N134" s="19">
        <f t="shared" si="63"/>
        <v>3440718071</v>
      </c>
      <c r="O134" s="19">
        <f t="shared" si="63"/>
        <v>3440718071</v>
      </c>
      <c r="P134" s="19">
        <f t="shared" si="63"/>
        <v>0</v>
      </c>
      <c r="Q134" s="19">
        <f t="shared" si="63"/>
        <v>3440718071</v>
      </c>
      <c r="R134" s="19">
        <f t="shared" si="63"/>
        <v>3316771635</v>
      </c>
      <c r="S134" s="19">
        <f t="shared" si="63"/>
        <v>99062213</v>
      </c>
      <c r="T134" s="84">
        <f t="shared" si="52"/>
        <v>97.20145870500023</v>
      </c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</row>
    <row r="135" spans="1:40" ht="12.75">
      <c r="A135" s="86" t="s">
        <v>168</v>
      </c>
      <c r="B135" s="21">
        <f>+B136</f>
        <v>3338450728</v>
      </c>
      <c r="C135" s="21">
        <f t="shared" si="63"/>
        <v>201329556</v>
      </c>
      <c r="D135" s="21">
        <f t="shared" si="63"/>
        <v>3539780284</v>
      </c>
      <c r="E135" s="21">
        <f t="shared" si="63"/>
        <v>0</v>
      </c>
      <c r="F135" s="21">
        <f t="shared" si="63"/>
        <v>0</v>
      </c>
      <c r="G135" s="21">
        <f t="shared" si="63"/>
        <v>0</v>
      </c>
      <c r="H135" s="21">
        <f t="shared" si="63"/>
        <v>0</v>
      </c>
      <c r="I135" s="21">
        <f t="shared" si="63"/>
        <v>0</v>
      </c>
      <c r="J135" s="21">
        <f t="shared" si="63"/>
        <v>0</v>
      </c>
      <c r="K135" s="21">
        <f t="shared" si="63"/>
        <v>0</v>
      </c>
      <c r="L135" s="21">
        <f t="shared" si="63"/>
        <v>0</v>
      </c>
      <c r="M135" s="21">
        <f t="shared" si="63"/>
        <v>0</v>
      </c>
      <c r="N135" s="21">
        <f t="shared" si="63"/>
        <v>3440718071</v>
      </c>
      <c r="O135" s="21">
        <f t="shared" si="63"/>
        <v>3440718071</v>
      </c>
      <c r="P135" s="21">
        <f t="shared" si="63"/>
        <v>0</v>
      </c>
      <c r="Q135" s="21">
        <f t="shared" si="63"/>
        <v>3440718071</v>
      </c>
      <c r="R135" s="21">
        <f t="shared" si="63"/>
        <v>3316771635</v>
      </c>
      <c r="S135" s="21">
        <f t="shared" si="63"/>
        <v>99062213</v>
      </c>
      <c r="T135" s="84">
        <f t="shared" si="52"/>
        <v>97.20145870500023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:40" ht="12.75">
      <c r="A136" s="86" t="s">
        <v>169</v>
      </c>
      <c r="B136" s="21">
        <v>3338450728</v>
      </c>
      <c r="C136" s="6">
        <v>201329556</v>
      </c>
      <c r="D136" s="63">
        <f>+B136+C136</f>
        <v>3539780284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>
        <v>3440718071</v>
      </c>
      <c r="O136" s="6">
        <f>+N136</f>
        <v>3440718071</v>
      </c>
      <c r="P136" s="6"/>
      <c r="Q136" s="6">
        <f>+O136</f>
        <v>3440718071</v>
      </c>
      <c r="R136" s="6">
        <v>3316771635</v>
      </c>
      <c r="S136" s="21">
        <f>+D136-O136</f>
        <v>99062213</v>
      </c>
      <c r="T136" s="84">
        <f t="shared" si="52"/>
        <v>97.20145870500023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ht="12.75">
      <c r="A137" s="87" t="s">
        <v>170</v>
      </c>
      <c r="B137" s="19">
        <f>+B138</f>
        <v>101000000</v>
      </c>
      <c r="C137" s="6">
        <v>0</v>
      </c>
      <c r="D137" s="19">
        <f aca="true" t="shared" si="64" ref="D137:S138">+D138</f>
        <v>101000000</v>
      </c>
      <c r="E137" s="19">
        <f t="shared" si="64"/>
        <v>0</v>
      </c>
      <c r="F137" s="19">
        <f t="shared" si="64"/>
        <v>0</v>
      </c>
      <c r="G137" s="19">
        <f t="shared" si="64"/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19">
        <f t="shared" si="64"/>
        <v>0</v>
      </c>
      <c r="L137" s="19">
        <f t="shared" si="64"/>
        <v>0</v>
      </c>
      <c r="M137" s="19">
        <f t="shared" si="64"/>
        <v>0</v>
      </c>
      <c r="N137" s="19">
        <f t="shared" si="64"/>
        <v>11834931</v>
      </c>
      <c r="O137" s="19">
        <f t="shared" si="64"/>
        <v>11834931</v>
      </c>
      <c r="P137" s="19">
        <f t="shared" si="64"/>
        <v>0</v>
      </c>
      <c r="Q137" s="19">
        <f t="shared" si="64"/>
        <v>11834931</v>
      </c>
      <c r="R137" s="19">
        <f t="shared" si="64"/>
        <v>11834931</v>
      </c>
      <c r="S137" s="19">
        <f t="shared" si="64"/>
        <v>89165069</v>
      </c>
      <c r="T137" s="84">
        <f t="shared" si="52"/>
        <v>11.717753465346535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ht="12.75">
      <c r="A138" s="86" t="s">
        <v>171</v>
      </c>
      <c r="B138" s="21">
        <f>+B139</f>
        <v>101000000</v>
      </c>
      <c r="C138" s="6">
        <v>0</v>
      </c>
      <c r="D138" s="21">
        <f t="shared" si="64"/>
        <v>101000000</v>
      </c>
      <c r="E138" s="21">
        <f t="shared" si="64"/>
        <v>0</v>
      </c>
      <c r="F138" s="21">
        <f t="shared" si="64"/>
        <v>0</v>
      </c>
      <c r="G138" s="21">
        <f t="shared" si="64"/>
        <v>0</v>
      </c>
      <c r="H138" s="21">
        <f t="shared" si="64"/>
        <v>0</v>
      </c>
      <c r="I138" s="21">
        <f t="shared" si="64"/>
        <v>0</v>
      </c>
      <c r="J138" s="21">
        <f t="shared" si="64"/>
        <v>0</v>
      </c>
      <c r="K138" s="21">
        <f t="shared" si="64"/>
        <v>0</v>
      </c>
      <c r="L138" s="21">
        <f t="shared" si="64"/>
        <v>0</v>
      </c>
      <c r="M138" s="21">
        <f t="shared" si="64"/>
        <v>0</v>
      </c>
      <c r="N138" s="21">
        <f t="shared" si="64"/>
        <v>11834931</v>
      </c>
      <c r="O138" s="21">
        <f t="shared" si="64"/>
        <v>11834931</v>
      </c>
      <c r="P138" s="21">
        <f t="shared" si="64"/>
        <v>0</v>
      </c>
      <c r="Q138" s="21">
        <f t="shared" si="64"/>
        <v>11834931</v>
      </c>
      <c r="R138" s="21">
        <f t="shared" si="64"/>
        <v>11834931</v>
      </c>
      <c r="S138" s="21">
        <f t="shared" si="64"/>
        <v>89165069</v>
      </c>
      <c r="T138" s="84">
        <f t="shared" si="52"/>
        <v>11.717753465346535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ht="12.75">
      <c r="A139" s="86" t="s">
        <v>170</v>
      </c>
      <c r="B139" s="21">
        <v>101000000</v>
      </c>
      <c r="C139" s="6">
        <v>0</v>
      </c>
      <c r="D139" s="63">
        <f>+B139+C139</f>
        <v>101000000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>
        <v>11834931</v>
      </c>
      <c r="O139" s="6">
        <v>11834931</v>
      </c>
      <c r="P139" s="6"/>
      <c r="Q139" s="6">
        <v>11834931</v>
      </c>
      <c r="R139" s="6">
        <v>11834931</v>
      </c>
      <c r="S139" s="21">
        <f>+D139-O139</f>
        <v>89165069</v>
      </c>
      <c r="T139" s="84">
        <f t="shared" si="52"/>
        <v>11.717753465346535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ht="25.5">
      <c r="A140" s="87" t="s">
        <v>138</v>
      </c>
      <c r="B140" s="19">
        <f aca="true" t="shared" si="65" ref="B140:S140">+B141+B144+B146</f>
        <v>127849174</v>
      </c>
      <c r="C140" s="19">
        <f t="shared" si="65"/>
        <v>0</v>
      </c>
      <c r="D140" s="19">
        <f t="shared" si="65"/>
        <v>134349174</v>
      </c>
      <c r="E140" s="19">
        <f t="shared" si="65"/>
        <v>0</v>
      </c>
      <c r="F140" s="19">
        <f t="shared" si="65"/>
        <v>0</v>
      </c>
      <c r="G140" s="19">
        <f t="shared" si="65"/>
        <v>0</v>
      </c>
      <c r="H140" s="19">
        <f t="shared" si="65"/>
        <v>0</v>
      </c>
      <c r="I140" s="19">
        <f t="shared" si="65"/>
        <v>0</v>
      </c>
      <c r="J140" s="19">
        <f t="shared" si="65"/>
        <v>0</v>
      </c>
      <c r="K140" s="19">
        <f t="shared" si="65"/>
        <v>0</v>
      </c>
      <c r="L140" s="19">
        <f t="shared" si="65"/>
        <v>0</v>
      </c>
      <c r="M140" s="19">
        <f t="shared" si="65"/>
        <v>0</v>
      </c>
      <c r="N140" s="19">
        <f t="shared" si="65"/>
        <v>121839507</v>
      </c>
      <c r="O140" s="19">
        <f t="shared" si="65"/>
        <v>121839507</v>
      </c>
      <c r="P140" s="19">
        <f t="shared" si="65"/>
        <v>0</v>
      </c>
      <c r="Q140" s="19">
        <f t="shared" si="65"/>
        <v>121839507</v>
      </c>
      <c r="R140" s="19">
        <f t="shared" si="65"/>
        <v>121838201</v>
      </c>
      <c r="S140" s="19">
        <f t="shared" si="65"/>
        <v>12509667</v>
      </c>
      <c r="T140" s="84">
        <f t="shared" si="52"/>
        <v>90.68869079909639</v>
      </c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ht="12.75">
      <c r="A141" s="87" t="s">
        <v>139</v>
      </c>
      <c r="B141" s="19">
        <f aca="true" t="shared" si="66" ref="B141:S141">+B142+B143</f>
        <v>56000000</v>
      </c>
      <c r="C141" s="19">
        <f t="shared" si="66"/>
        <v>0</v>
      </c>
      <c r="D141" s="19">
        <f t="shared" si="66"/>
        <v>56000000</v>
      </c>
      <c r="E141" s="19">
        <f t="shared" si="66"/>
        <v>0</v>
      </c>
      <c r="F141" s="19">
        <f t="shared" si="66"/>
        <v>0</v>
      </c>
      <c r="G141" s="19">
        <f t="shared" si="66"/>
        <v>0</v>
      </c>
      <c r="H141" s="19">
        <f t="shared" si="66"/>
        <v>0</v>
      </c>
      <c r="I141" s="19">
        <f t="shared" si="66"/>
        <v>0</v>
      </c>
      <c r="J141" s="19">
        <f t="shared" si="66"/>
        <v>0</v>
      </c>
      <c r="K141" s="19">
        <f t="shared" si="66"/>
        <v>0</v>
      </c>
      <c r="L141" s="19">
        <f t="shared" si="66"/>
        <v>0</v>
      </c>
      <c r="M141" s="19">
        <f t="shared" si="66"/>
        <v>0</v>
      </c>
      <c r="N141" s="19">
        <f t="shared" si="66"/>
        <v>55839133</v>
      </c>
      <c r="O141" s="19">
        <f t="shared" si="66"/>
        <v>55839133</v>
      </c>
      <c r="P141" s="19">
        <f t="shared" si="66"/>
        <v>0</v>
      </c>
      <c r="Q141" s="19">
        <f t="shared" si="66"/>
        <v>55839133</v>
      </c>
      <c r="R141" s="19">
        <f t="shared" si="66"/>
        <v>55837827</v>
      </c>
      <c r="S141" s="19">
        <f t="shared" si="66"/>
        <v>160867</v>
      </c>
      <c r="T141" s="84">
        <f t="shared" si="52"/>
        <v>99.7127375</v>
      </c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spans="1:40" ht="12.75">
      <c r="A142" s="86" t="s">
        <v>140</v>
      </c>
      <c r="B142" s="3">
        <v>56000000</v>
      </c>
      <c r="C142" s="6">
        <v>0</v>
      </c>
      <c r="D142" s="3">
        <f>+B142+C142</f>
        <v>56000000</v>
      </c>
      <c r="E142" s="3">
        <f aca="true" t="shared" si="67" ref="E142:P142">+E144</f>
        <v>0</v>
      </c>
      <c r="F142" s="3">
        <f t="shared" si="67"/>
        <v>0</v>
      </c>
      <c r="G142" s="3">
        <f t="shared" si="67"/>
        <v>0</v>
      </c>
      <c r="H142" s="3">
        <f t="shared" si="67"/>
        <v>0</v>
      </c>
      <c r="I142" s="3">
        <f t="shared" si="67"/>
        <v>0</v>
      </c>
      <c r="J142" s="3">
        <f t="shared" si="67"/>
        <v>0</v>
      </c>
      <c r="K142" s="3">
        <f t="shared" si="67"/>
        <v>0</v>
      </c>
      <c r="L142" s="3">
        <f t="shared" si="67"/>
        <v>0</v>
      </c>
      <c r="M142" s="3">
        <f t="shared" si="67"/>
        <v>0</v>
      </c>
      <c r="N142" s="3">
        <v>55839133</v>
      </c>
      <c r="O142" s="3">
        <v>55839133</v>
      </c>
      <c r="P142" s="3">
        <f t="shared" si="67"/>
        <v>0</v>
      </c>
      <c r="Q142" s="3">
        <v>55839133</v>
      </c>
      <c r="R142" s="3">
        <v>55837827</v>
      </c>
      <c r="S142" s="3">
        <f>+D142-O142</f>
        <v>160867</v>
      </c>
      <c r="T142" s="84">
        <f t="shared" si="52"/>
        <v>99.7127375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1:40" ht="12.75" hidden="1">
      <c r="A143" s="86"/>
      <c r="B143" s="3"/>
      <c r="C143" s="6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84"/>
      <c r="U143" s="14">
        <f>10509000+9399400</f>
        <v>19908400</v>
      </c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</row>
    <row r="144" spans="1:40" ht="12.75">
      <c r="A144" s="87" t="s">
        <v>141</v>
      </c>
      <c r="B144" s="19">
        <f>+B145</f>
        <v>59171174</v>
      </c>
      <c r="C144" s="6">
        <f>+C145</f>
        <v>0</v>
      </c>
      <c r="D144" s="62">
        <f>+D145</f>
        <v>65671174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>
        <f>+N145</f>
        <v>65622808</v>
      </c>
      <c r="O144" s="20">
        <f>+O145</f>
        <v>65622808</v>
      </c>
      <c r="P144" s="20"/>
      <c r="Q144" s="20">
        <f>+Q145</f>
        <v>65622808</v>
      </c>
      <c r="R144" s="20">
        <f>+R145</f>
        <v>65622808</v>
      </c>
      <c r="S144" s="19">
        <f>+D144-O144</f>
        <v>48366</v>
      </c>
      <c r="T144" s="84">
        <f t="shared" si="52"/>
        <v>99.92635124811382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</row>
    <row r="145" spans="1:40" ht="13.5" thickBot="1">
      <c r="A145" s="88" t="s">
        <v>142</v>
      </c>
      <c r="B145" s="89">
        <v>59171174</v>
      </c>
      <c r="C145" s="90">
        <v>0</v>
      </c>
      <c r="D145" s="91">
        <f>+B145+C145+6500000</f>
        <v>65671174</v>
      </c>
      <c r="E145" s="89"/>
      <c r="F145" s="89"/>
      <c r="G145" s="89"/>
      <c r="H145" s="89"/>
      <c r="I145" s="89"/>
      <c r="J145" s="89"/>
      <c r="K145" s="89"/>
      <c r="L145" s="89"/>
      <c r="M145" s="89"/>
      <c r="N145" s="89">
        <f>59122808+6500000</f>
        <v>65622808</v>
      </c>
      <c r="O145" s="90">
        <f>+N145</f>
        <v>65622808</v>
      </c>
      <c r="P145" s="90"/>
      <c r="Q145" s="90">
        <f>+O145</f>
        <v>65622808</v>
      </c>
      <c r="R145" s="90">
        <f>+Q145</f>
        <v>65622808</v>
      </c>
      <c r="S145" s="89">
        <f>+D145-O145</f>
        <v>48366</v>
      </c>
      <c r="T145" s="84">
        <f t="shared" si="52"/>
        <v>99.92635124811382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</row>
    <row r="146" spans="1:40" ht="13.5" thickBot="1">
      <c r="A146" s="94" t="s">
        <v>175</v>
      </c>
      <c r="B146" s="95">
        <f aca="true" t="shared" si="68" ref="B146:Q146">+B147</f>
        <v>12678000</v>
      </c>
      <c r="C146" s="95">
        <f t="shared" si="68"/>
        <v>0</v>
      </c>
      <c r="D146" s="95">
        <f t="shared" si="68"/>
        <v>12678000</v>
      </c>
      <c r="E146" s="95">
        <f t="shared" si="68"/>
        <v>0</v>
      </c>
      <c r="F146" s="95">
        <f t="shared" si="68"/>
        <v>0</v>
      </c>
      <c r="G146" s="95">
        <f t="shared" si="68"/>
        <v>0</v>
      </c>
      <c r="H146" s="95">
        <f t="shared" si="68"/>
        <v>0</v>
      </c>
      <c r="I146" s="95">
        <f t="shared" si="68"/>
        <v>0</v>
      </c>
      <c r="J146" s="95">
        <f t="shared" si="68"/>
        <v>0</v>
      </c>
      <c r="K146" s="95">
        <f t="shared" si="68"/>
        <v>0</v>
      </c>
      <c r="L146" s="95">
        <f t="shared" si="68"/>
        <v>0</v>
      </c>
      <c r="M146" s="95">
        <f t="shared" si="68"/>
        <v>0</v>
      </c>
      <c r="N146" s="95">
        <f t="shared" si="68"/>
        <v>377566</v>
      </c>
      <c r="O146" s="95">
        <f t="shared" si="68"/>
        <v>377566</v>
      </c>
      <c r="P146" s="95">
        <f t="shared" si="68"/>
        <v>0</v>
      </c>
      <c r="Q146" s="95">
        <f t="shared" si="68"/>
        <v>377566</v>
      </c>
      <c r="R146" s="95">
        <f>+R147</f>
        <v>377566</v>
      </c>
      <c r="S146" s="101">
        <f>+D146-O146</f>
        <v>12300434</v>
      </c>
      <c r="T146" s="84">
        <f t="shared" si="52"/>
        <v>2.9781195772203817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</row>
    <row r="147" spans="1:40" ht="13.5" thickBot="1">
      <c r="A147" s="96" t="s">
        <v>176</v>
      </c>
      <c r="B147" s="97">
        <v>12678000</v>
      </c>
      <c r="C147" s="98">
        <v>0</v>
      </c>
      <c r="D147" s="99">
        <f>+B147+C147</f>
        <v>12678000</v>
      </c>
      <c r="E147" s="97"/>
      <c r="F147" s="97"/>
      <c r="G147" s="97"/>
      <c r="H147" s="97"/>
      <c r="I147" s="97"/>
      <c r="J147" s="97"/>
      <c r="K147" s="97"/>
      <c r="L147" s="97"/>
      <c r="M147" s="97"/>
      <c r="N147" s="97">
        <v>377566</v>
      </c>
      <c r="O147" s="98">
        <f>+N147</f>
        <v>377566</v>
      </c>
      <c r="P147" s="98"/>
      <c r="Q147" s="98">
        <f>+O147</f>
        <v>377566</v>
      </c>
      <c r="R147" s="98">
        <f>+Q147</f>
        <v>377566</v>
      </c>
      <c r="S147" s="89">
        <f>+D147-O147</f>
        <v>12300434</v>
      </c>
      <c r="T147" s="84">
        <f t="shared" si="52"/>
        <v>2.9781195772203817</v>
      </c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</row>
    <row r="148" spans="1:40" ht="12.75">
      <c r="A148" s="14"/>
      <c r="B148" s="14"/>
      <c r="C148" s="66"/>
      <c r="D148" s="73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31"/>
      <c r="P148" s="31"/>
      <c r="Q148" s="31"/>
      <c r="R148" s="31"/>
      <c r="S148" s="57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</row>
    <row r="149" spans="1:40" ht="12.75">
      <c r="A149" s="14"/>
      <c r="B149" s="14"/>
      <c r="C149" s="66"/>
      <c r="D149" s="73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66"/>
      <c r="P149" s="57"/>
      <c r="Q149" s="57"/>
      <c r="R149" s="66"/>
      <c r="S149" s="57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</row>
    <row r="150" spans="1:40" ht="12.75">
      <c r="A150" s="14" t="s">
        <v>185</v>
      </c>
      <c r="B150" s="73">
        <f>+B61</f>
        <v>6219268811</v>
      </c>
      <c r="C150" s="66" t="s">
        <v>108</v>
      </c>
      <c r="D150" s="73">
        <f>+D61</f>
        <v>6865822366</v>
      </c>
      <c r="E150" s="57"/>
      <c r="F150" s="57"/>
      <c r="G150" s="57"/>
      <c r="H150" s="57"/>
      <c r="I150" s="57"/>
      <c r="J150" s="57"/>
      <c r="K150" s="57"/>
      <c r="L150" s="57"/>
      <c r="M150" s="57"/>
      <c r="N150" s="73">
        <f>+N61</f>
        <v>6329015558</v>
      </c>
      <c r="O150" s="73">
        <f>+O61</f>
        <v>6329015558</v>
      </c>
      <c r="P150" s="73">
        <f>+P61+P9</f>
        <v>2116767879</v>
      </c>
      <c r="Q150" s="73">
        <f>+Q61</f>
        <v>5974976311</v>
      </c>
      <c r="R150" s="73">
        <f>+R61</f>
        <v>5515235578</v>
      </c>
      <c r="S150" s="57"/>
      <c r="T150" s="8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</row>
    <row r="151" spans="1:40" ht="12.75">
      <c r="A151" s="14" t="s">
        <v>186</v>
      </c>
      <c r="B151" s="73">
        <f>+B9</f>
        <v>2347454000</v>
      </c>
      <c r="C151" s="66"/>
      <c r="D151" s="73">
        <f>+D9</f>
        <v>2408454000</v>
      </c>
      <c r="E151" s="57"/>
      <c r="F151" s="57"/>
      <c r="G151" s="57"/>
      <c r="H151" s="57"/>
      <c r="I151" s="57"/>
      <c r="J151" s="57"/>
      <c r="K151" s="57"/>
      <c r="L151" s="57"/>
      <c r="M151" s="57"/>
      <c r="N151" s="73">
        <f>+N9</f>
        <v>2396053324</v>
      </c>
      <c r="O151" s="73">
        <f>+O9</f>
        <v>2396053324</v>
      </c>
      <c r="P151" s="57">
        <v>564053997</v>
      </c>
      <c r="Q151" s="73">
        <f>+Q9</f>
        <v>2383350924</v>
      </c>
      <c r="R151" s="73">
        <f>+R9</f>
        <v>2383350924</v>
      </c>
      <c r="S151" s="57"/>
      <c r="T151" s="8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</row>
    <row r="152" spans="1:40" ht="12.75">
      <c r="A152" s="14" t="s">
        <v>187</v>
      </c>
      <c r="B152" s="72">
        <f>+'[3]INVERSION'!$B$74</f>
        <v>24873867189</v>
      </c>
      <c r="C152" s="66"/>
      <c r="D152" s="72">
        <f>+'[3]INVERSION'!$D$74</f>
        <v>34971739606</v>
      </c>
      <c r="E152" s="57"/>
      <c r="F152" s="57"/>
      <c r="G152" s="57"/>
      <c r="H152" s="57"/>
      <c r="I152" s="57"/>
      <c r="J152" s="57"/>
      <c r="K152" s="57"/>
      <c r="L152" s="57"/>
      <c r="M152" s="57"/>
      <c r="N152" s="72">
        <f>+'[3]INVERSION'!$E$74</f>
        <v>33127045764</v>
      </c>
      <c r="O152" s="72">
        <f>+'[3]INVERSION'!$E$74</f>
        <v>33127045764</v>
      </c>
      <c r="P152" s="57"/>
      <c r="Q152" s="72">
        <f>+'[3]INVERSION'!$F$74</f>
        <v>18613404204</v>
      </c>
      <c r="R152" s="72">
        <f>+'[3]INVERSION'!$G$74</f>
        <v>17054172344</v>
      </c>
      <c r="S152" s="57"/>
      <c r="T152" s="8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</row>
    <row r="153" spans="1:40" ht="12.75">
      <c r="A153" s="14" t="s">
        <v>188</v>
      </c>
      <c r="B153" s="14">
        <v>0</v>
      </c>
      <c r="C153" s="66"/>
      <c r="D153" s="14">
        <v>0</v>
      </c>
      <c r="E153" s="57"/>
      <c r="F153" s="57"/>
      <c r="G153" s="57"/>
      <c r="H153" s="57"/>
      <c r="I153" s="57"/>
      <c r="J153" s="57"/>
      <c r="K153" s="57"/>
      <c r="L153" s="57"/>
      <c r="M153" s="57"/>
      <c r="N153" s="14">
        <v>0</v>
      </c>
      <c r="O153" s="14">
        <v>0</v>
      </c>
      <c r="P153" s="57"/>
      <c r="Q153" s="14">
        <v>0</v>
      </c>
      <c r="R153" s="14">
        <v>0</v>
      </c>
      <c r="S153" s="57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</row>
    <row r="154" spans="1:40" ht="12.75">
      <c r="A154" s="22" t="s">
        <v>177</v>
      </c>
      <c r="B154" s="14">
        <f>SUM(B150:B153)</f>
        <v>33440590000</v>
      </c>
      <c r="C154" s="35"/>
      <c r="D154" s="74">
        <f>+D150+D151+D152+D153</f>
        <v>44246015972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74">
        <f>+N150+N151+N152+N153</f>
        <v>41852114646</v>
      </c>
      <c r="O154" s="74">
        <f>+O150+O151+O152+O153</f>
        <v>41852114646</v>
      </c>
      <c r="P154" s="74">
        <f>+P150+P151+P152+P153</f>
        <v>2680821876</v>
      </c>
      <c r="Q154" s="74">
        <f>+Q150+Q151+Q152+Q153</f>
        <v>26971731439</v>
      </c>
      <c r="R154" s="74">
        <f>+R150+R151+R152+R153</f>
        <v>24952758846</v>
      </c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</row>
    <row r="155" spans="1:40" ht="12.75">
      <c r="A155" s="22" t="s">
        <v>189</v>
      </c>
      <c r="B155" s="14">
        <f>+'[4]Informe Ingresos'!$K$7</f>
        <v>33440590000</v>
      </c>
      <c r="C155" s="35"/>
      <c r="D155" s="74">
        <f>44246015973-1</f>
        <v>44246015972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22">
        <v>41849799219</v>
      </c>
      <c r="O155" s="35">
        <v>41849799219</v>
      </c>
      <c r="P155" s="14"/>
      <c r="Q155" s="22">
        <v>26982118412</v>
      </c>
      <c r="R155" s="35">
        <v>24963145819</v>
      </c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</row>
    <row r="156" spans="1:40" ht="12.75">
      <c r="A156" s="14"/>
      <c r="B156" s="14">
        <f>+B154-B155</f>
        <v>0</v>
      </c>
      <c r="C156" s="35"/>
      <c r="D156" s="14">
        <f aca="true" t="shared" si="69" ref="D156:R156">+D154-D155</f>
        <v>0</v>
      </c>
      <c r="E156" s="14">
        <f t="shared" si="69"/>
        <v>0</v>
      </c>
      <c r="F156" s="14">
        <f t="shared" si="69"/>
        <v>0</v>
      </c>
      <c r="G156" s="14">
        <f t="shared" si="69"/>
        <v>0</v>
      </c>
      <c r="H156" s="14">
        <f t="shared" si="69"/>
        <v>0</v>
      </c>
      <c r="I156" s="14">
        <f t="shared" si="69"/>
        <v>0</v>
      </c>
      <c r="J156" s="14">
        <f t="shared" si="69"/>
        <v>0</v>
      </c>
      <c r="K156" s="14">
        <f t="shared" si="69"/>
        <v>0</v>
      </c>
      <c r="L156" s="14">
        <f t="shared" si="69"/>
        <v>0</v>
      </c>
      <c r="M156" s="14">
        <f t="shared" si="69"/>
        <v>0</v>
      </c>
      <c r="N156" s="14">
        <f t="shared" si="69"/>
        <v>2315427</v>
      </c>
      <c r="O156" s="14">
        <f t="shared" si="69"/>
        <v>2315427</v>
      </c>
      <c r="P156" s="14">
        <f t="shared" si="69"/>
        <v>2680821876</v>
      </c>
      <c r="Q156" s="14">
        <f t="shared" si="69"/>
        <v>-10386973</v>
      </c>
      <c r="R156" s="14">
        <f t="shared" si="69"/>
        <v>-10386973</v>
      </c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</row>
    <row r="157" spans="1:40" ht="12.75">
      <c r="A157" s="14"/>
      <c r="B157" s="14"/>
      <c r="C157" s="35"/>
      <c r="D157" s="74"/>
      <c r="E157" s="14"/>
      <c r="F157" s="14"/>
      <c r="G157" s="14"/>
      <c r="H157" s="14"/>
      <c r="I157" s="14"/>
      <c r="J157" s="14"/>
      <c r="K157" s="14"/>
      <c r="L157" s="14"/>
      <c r="M157" s="14"/>
      <c r="N157" s="14">
        <f>+N152+N150</f>
        <v>39456061322</v>
      </c>
      <c r="O157" s="14">
        <f>+O152+O150</f>
        <v>39456061322</v>
      </c>
      <c r="P157" s="14">
        <f>+P152+P150</f>
        <v>2116767879</v>
      </c>
      <c r="Q157" s="14">
        <f>+Q152+Q150</f>
        <v>24588380515</v>
      </c>
      <c r="R157" s="14">
        <f>+R152+R150</f>
        <v>22569407922</v>
      </c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</row>
    <row r="158" spans="1:40" ht="12.75">
      <c r="A158" s="14"/>
      <c r="B158" s="14"/>
      <c r="C158" s="35"/>
      <c r="D158" s="7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35"/>
      <c r="P158" s="14"/>
      <c r="Q158" s="14"/>
      <c r="R158" s="35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</row>
    <row r="159" spans="1:40" ht="12.75">
      <c r="A159" s="14"/>
      <c r="B159" s="14"/>
      <c r="C159" s="35"/>
      <c r="D159" s="7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35"/>
      <c r="P159" s="14"/>
      <c r="Q159" s="14"/>
      <c r="R159" s="35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</row>
    <row r="160" spans="1:40" ht="12.75">
      <c r="A160" s="14"/>
      <c r="B160" s="14"/>
      <c r="C160" s="35"/>
      <c r="D160" s="7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35"/>
      <c r="P160" s="14"/>
      <c r="Q160" s="14"/>
      <c r="R160" s="35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</row>
    <row r="161" spans="1:40" ht="12.75">
      <c r="A161" s="14"/>
      <c r="B161" s="14"/>
      <c r="C161" s="3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35"/>
      <c r="P161" s="14"/>
      <c r="Q161" s="14"/>
      <c r="R161" s="35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  <row r="162" spans="1:40" ht="12.75">
      <c r="A162" s="14"/>
      <c r="B162" s="14"/>
      <c r="C162" s="35"/>
      <c r="D162" s="7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35"/>
      <c r="P162" s="14"/>
      <c r="Q162" s="14"/>
      <c r="R162" s="35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:40" ht="12.75">
      <c r="A163" s="14"/>
      <c r="B163" s="14"/>
      <c r="C163" s="35"/>
      <c r="D163" s="7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35"/>
      <c r="P163" s="14"/>
      <c r="Q163" s="14"/>
      <c r="R163" s="35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:40" ht="12.75">
      <c r="A164" s="14"/>
      <c r="B164" s="14"/>
      <c r="C164" s="35"/>
      <c r="D164" s="7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35"/>
      <c r="P164" s="14"/>
      <c r="Q164" s="14"/>
      <c r="R164" s="35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</row>
    <row r="165" spans="1:40" ht="12.75">
      <c r="A165" s="14"/>
      <c r="B165" s="14"/>
      <c r="C165" s="35"/>
      <c r="D165" s="7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35"/>
      <c r="P165" s="14"/>
      <c r="Q165" s="14"/>
      <c r="R165" s="35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</row>
    <row r="166" spans="1:40" ht="12.75">
      <c r="A166" s="14"/>
      <c r="B166" s="14"/>
      <c r="C166" s="35"/>
      <c r="D166" s="7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35"/>
      <c r="P166" s="14"/>
      <c r="Q166" s="14"/>
      <c r="R166" s="35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</row>
    <row r="167" spans="1:40" ht="12.75">
      <c r="A167" s="14"/>
      <c r="B167" s="14"/>
      <c r="C167" s="35"/>
      <c r="D167" s="7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35"/>
      <c r="P167" s="14"/>
      <c r="Q167" s="14"/>
      <c r="R167" s="35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</row>
    <row r="168" spans="1:40" ht="12.75">
      <c r="A168" s="14"/>
      <c r="B168" s="14"/>
      <c r="C168" s="35"/>
      <c r="D168" s="7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35"/>
      <c r="P168" s="14"/>
      <c r="Q168" s="14"/>
      <c r="R168" s="35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</row>
    <row r="169" spans="1:40" ht="12.75">
      <c r="A169" s="14"/>
      <c r="B169" s="14"/>
      <c r="C169" s="35"/>
      <c r="D169" s="7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35"/>
      <c r="P169" s="14"/>
      <c r="Q169" s="14"/>
      <c r="R169" s="35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</row>
    <row r="170" spans="1:40" ht="12.75">
      <c r="A170" s="14"/>
      <c r="B170" s="14"/>
      <c r="C170" s="35"/>
      <c r="D170" s="7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35"/>
      <c r="P170" s="14"/>
      <c r="Q170" s="14"/>
      <c r="R170" s="35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</row>
    <row r="171" spans="1:40" ht="12.75">
      <c r="A171" s="14"/>
      <c r="B171" s="14"/>
      <c r="C171" s="35"/>
      <c r="D171" s="7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35"/>
      <c r="P171" s="14"/>
      <c r="Q171" s="14"/>
      <c r="R171" s="35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</row>
    <row r="172" spans="1:40" ht="12.75">
      <c r="A172" s="14"/>
      <c r="B172" s="14"/>
      <c r="C172" s="35"/>
      <c r="D172" s="7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35"/>
      <c r="P172" s="14"/>
      <c r="Q172" s="14"/>
      <c r="R172" s="35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</row>
    <row r="173" spans="1:40" ht="12.75">
      <c r="A173" s="14"/>
      <c r="B173" s="14"/>
      <c r="C173" s="35"/>
      <c r="D173" s="7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35"/>
      <c r="P173" s="14"/>
      <c r="Q173" s="14"/>
      <c r="R173" s="35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</row>
    <row r="174" spans="1:40" ht="12.75">
      <c r="A174" s="14"/>
      <c r="B174" s="14"/>
      <c r="C174" s="35"/>
      <c r="D174" s="7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35"/>
      <c r="P174" s="14"/>
      <c r="Q174" s="14"/>
      <c r="R174" s="35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</row>
    <row r="175" spans="1:40" ht="12.75">
      <c r="A175" s="14"/>
      <c r="B175" s="14"/>
      <c r="C175" s="35"/>
      <c r="D175" s="7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35"/>
      <c r="P175" s="14"/>
      <c r="Q175" s="14"/>
      <c r="R175" s="35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</row>
    <row r="176" spans="1:40" ht="12.75">
      <c r="A176" s="14"/>
      <c r="B176" s="14"/>
      <c r="C176" s="35"/>
      <c r="D176" s="7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35"/>
      <c r="P176" s="14"/>
      <c r="Q176" s="14"/>
      <c r="R176" s="35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</row>
    <row r="177" spans="1:40" ht="12.75">
      <c r="A177" s="14"/>
      <c r="B177" s="14"/>
      <c r="C177" s="35"/>
      <c r="D177" s="7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35"/>
      <c r="P177" s="14"/>
      <c r="Q177" s="14"/>
      <c r="R177" s="35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</row>
    <row r="178" spans="1:40" ht="12.75">
      <c r="A178" s="14"/>
      <c r="B178" s="14"/>
      <c r="C178" s="35"/>
      <c r="D178" s="7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35"/>
      <c r="P178" s="14"/>
      <c r="Q178" s="14"/>
      <c r="R178" s="35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</row>
    <row r="179" spans="1:40" ht="12.75">
      <c r="A179" s="14"/>
      <c r="B179" s="14"/>
      <c r="C179" s="35"/>
      <c r="D179" s="7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35"/>
      <c r="P179" s="14"/>
      <c r="Q179" s="14"/>
      <c r="R179" s="35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</row>
    <row r="180" spans="1:40" ht="12.75">
      <c r="A180" s="14"/>
      <c r="B180" s="14"/>
      <c r="C180" s="35"/>
      <c r="D180" s="7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35"/>
      <c r="P180" s="14"/>
      <c r="Q180" s="14"/>
      <c r="R180" s="35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</row>
    <row r="181" spans="1:40" ht="12.75">
      <c r="A181" s="14"/>
      <c r="B181" s="14"/>
      <c r="C181" s="35"/>
      <c r="D181" s="7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35"/>
      <c r="P181" s="14"/>
      <c r="Q181" s="14"/>
      <c r="R181" s="35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</row>
    <row r="182" spans="1:20" ht="12.75">
      <c r="A182" s="14"/>
      <c r="B182" s="14"/>
      <c r="C182" s="35"/>
      <c r="D182" s="7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35"/>
      <c r="P182" s="14"/>
      <c r="Q182" s="14"/>
      <c r="R182" s="35"/>
      <c r="S182" s="14"/>
      <c r="T182" s="14"/>
    </row>
    <row r="183" spans="1:20" ht="12.75">
      <c r="A183" s="14"/>
      <c r="B183" s="14"/>
      <c r="C183" s="35"/>
      <c r="D183" s="7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35"/>
      <c r="P183" s="14"/>
      <c r="Q183" s="14"/>
      <c r="R183" s="35"/>
      <c r="S183" s="14"/>
      <c r="T183" s="14"/>
    </row>
    <row r="184" spans="1:20" ht="12.75">
      <c r="A184" s="14"/>
      <c r="B184" s="14"/>
      <c r="C184" s="35"/>
      <c r="D184" s="7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35"/>
      <c r="P184" s="14"/>
      <c r="Q184" s="14"/>
      <c r="R184" s="35"/>
      <c r="S184" s="14"/>
      <c r="T184" s="14"/>
    </row>
    <row r="185" spans="1:20" ht="12.75">
      <c r="A185" s="14"/>
      <c r="B185" s="14"/>
      <c r="C185" s="35"/>
      <c r="D185" s="7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35"/>
      <c r="P185" s="14"/>
      <c r="Q185" s="14"/>
      <c r="R185" s="35"/>
      <c r="S185" s="14"/>
      <c r="T185" s="14"/>
    </row>
    <row r="186" spans="1:20" ht="12.75">
      <c r="A186" s="14"/>
      <c r="B186" s="14"/>
      <c r="C186" s="35"/>
      <c r="D186" s="7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35"/>
      <c r="P186" s="14"/>
      <c r="Q186" s="14"/>
      <c r="R186" s="35"/>
      <c r="S186" s="14"/>
      <c r="T186" s="14"/>
    </row>
    <row r="187" spans="1:20" ht="12.75">
      <c r="A187" s="14"/>
      <c r="B187" s="14"/>
      <c r="C187" s="35"/>
      <c r="D187" s="7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35"/>
      <c r="P187" s="14"/>
      <c r="Q187" s="14"/>
      <c r="R187" s="35"/>
      <c r="S187" s="14"/>
      <c r="T187" s="14"/>
    </row>
    <row r="188" spans="1:20" ht="12.75">
      <c r="A188" s="14"/>
      <c r="B188" s="1"/>
      <c r="C188" s="38"/>
      <c r="D188" s="6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38"/>
      <c r="P188" s="1"/>
      <c r="Q188" s="1"/>
      <c r="R188" s="38"/>
      <c r="S188" s="1"/>
      <c r="T188" s="1"/>
    </row>
    <row r="189" spans="2:20" ht="12.75">
      <c r="B189" s="1"/>
      <c r="C189" s="38"/>
      <c r="D189" s="6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38"/>
      <c r="P189" s="1"/>
      <c r="Q189" s="1"/>
      <c r="R189" s="38"/>
      <c r="S189" s="1"/>
      <c r="T189" s="1"/>
    </row>
    <row r="190" spans="2:20" ht="12.75">
      <c r="B190" s="1"/>
      <c r="C190" s="38"/>
      <c r="D190" s="64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38"/>
      <c r="P190" s="1"/>
      <c r="Q190" s="1"/>
      <c r="R190" s="38"/>
      <c r="S190" s="1"/>
      <c r="T190" s="1"/>
    </row>
    <row r="191" spans="2:20" ht="12.75">
      <c r="B191" s="1"/>
      <c r="C191" s="38"/>
      <c r="D191" s="64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8"/>
      <c r="P191" s="1"/>
      <c r="Q191" s="1"/>
      <c r="R191" s="38"/>
      <c r="S191" s="1"/>
      <c r="T191" s="1"/>
    </row>
  </sheetData>
  <sheetProtection/>
  <mergeCells count="6">
    <mergeCell ref="A53:T53"/>
    <mergeCell ref="A1:T1"/>
    <mergeCell ref="A2:T2"/>
    <mergeCell ref="A3:T3"/>
    <mergeCell ref="A52:T52"/>
    <mergeCell ref="A51:T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23" t="s">
        <v>87</v>
      </c>
      <c r="H2" s="23" t="s">
        <v>88</v>
      </c>
    </row>
    <row r="3" spans="1:12" ht="12.75">
      <c r="A3" t="s">
        <v>59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4" t="s">
        <v>0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4" t="s">
        <v>0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60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61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62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63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64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65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66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67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23" t="s">
        <v>68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23" t="s">
        <v>69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23" t="s">
        <v>70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23" t="s">
        <v>71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4" t="s">
        <v>0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4" t="s">
        <v>0</v>
      </c>
      <c r="G21" s="1"/>
      <c r="H21" s="1"/>
      <c r="I21" s="1"/>
      <c r="J21" s="1"/>
      <c r="K21" s="1"/>
      <c r="L21" s="1"/>
    </row>
    <row r="22" spans="1:12" ht="12.75">
      <c r="A22" s="23" t="s">
        <v>76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23" t="s">
        <v>72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4" t="s">
        <v>0</v>
      </c>
      <c r="E25" s="1"/>
      <c r="F25" s="4" t="s">
        <v>0</v>
      </c>
      <c r="G25" s="1"/>
      <c r="H25" s="1"/>
      <c r="I25" s="1"/>
      <c r="J25" s="1"/>
      <c r="K25" s="1"/>
      <c r="L25" s="1"/>
    </row>
    <row r="26" spans="1:12" ht="12.75">
      <c r="A26" s="23" t="s">
        <v>73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23" t="s">
        <v>74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4" t="s">
        <v>0</v>
      </c>
      <c r="E28" s="1"/>
      <c r="F28" s="4" t="s">
        <v>0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23" t="s">
        <v>75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23" t="s">
        <v>77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23" t="s">
        <v>78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23" t="s">
        <v>79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23" t="s">
        <v>80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23" t="s">
        <v>81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23" t="s">
        <v>82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23" t="s">
        <v>83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23" t="s">
        <v>84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23" t="s">
        <v>85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23" t="s">
        <v>86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26"/>
      <c r="B3" s="7"/>
      <c r="C3" s="7"/>
      <c r="D3" s="7"/>
      <c r="E3" s="7"/>
      <c r="F3" s="18" t="s">
        <v>89</v>
      </c>
      <c r="G3" s="18" t="s">
        <v>90</v>
      </c>
      <c r="H3" s="18" t="str">
        <f>+G3</f>
        <v>CONTRACREDITO</v>
      </c>
      <c r="I3" s="18" t="str">
        <f>+H3</f>
        <v>CONTRACREDITO</v>
      </c>
      <c r="J3" s="18" t="s">
        <v>91</v>
      </c>
      <c r="K3" s="18" t="str">
        <f>+J3</f>
        <v>ADICIONES</v>
      </c>
      <c r="L3" s="18" t="s">
        <v>92</v>
      </c>
      <c r="M3" s="7" t="str">
        <f>+L3</f>
        <v>CREDITOS</v>
      </c>
      <c r="N3" s="7" t="str">
        <f>+M3</f>
        <v>CREDITOS</v>
      </c>
      <c r="O3" s="46" t="s">
        <v>37</v>
      </c>
      <c r="R3" t="s">
        <v>95</v>
      </c>
      <c r="S3" t="s">
        <v>91</v>
      </c>
      <c r="T3" t="s">
        <v>92</v>
      </c>
      <c r="U3" t="s">
        <v>96</v>
      </c>
      <c r="V3" t="s">
        <v>36</v>
      </c>
      <c r="W3" s="23" t="s">
        <v>109</v>
      </c>
    </row>
    <row r="4" spans="1:23" ht="63.75">
      <c r="A4" s="44" t="s">
        <v>8</v>
      </c>
      <c r="B4" s="39" t="s">
        <v>13</v>
      </c>
      <c r="C4" s="40">
        <v>900</v>
      </c>
      <c r="D4" s="41">
        <v>1</v>
      </c>
      <c r="E4" s="42" t="s">
        <v>22</v>
      </c>
      <c r="F4" s="33">
        <f>1350000000</f>
        <v>1350000000</v>
      </c>
      <c r="G4" s="53">
        <v>-2572702</v>
      </c>
      <c r="H4" s="54">
        <v>-920388624</v>
      </c>
      <c r="I4" s="10"/>
      <c r="J4" s="10"/>
      <c r="K4" s="10"/>
      <c r="L4" s="10"/>
      <c r="M4" s="10"/>
      <c r="N4" s="10"/>
      <c r="O4" s="10">
        <f aca="true" t="shared" si="0" ref="O4:O17">SUM(F4:N4)</f>
        <v>427038674</v>
      </c>
      <c r="P4" t="s">
        <v>93</v>
      </c>
      <c r="Q4" t="s">
        <v>94</v>
      </c>
      <c r="R4" s="14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14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44" t="s">
        <v>8</v>
      </c>
      <c r="B5" s="39" t="s">
        <v>13</v>
      </c>
      <c r="C5" s="40">
        <f>+C4</f>
        <v>900</v>
      </c>
      <c r="D5" s="41">
        <v>2</v>
      </c>
      <c r="E5" s="42" t="s">
        <v>23</v>
      </c>
      <c r="F5" s="25">
        <f>350000000</f>
        <v>350000000</v>
      </c>
      <c r="G5" s="55">
        <v>-23894914</v>
      </c>
      <c r="H5" s="52">
        <v>-169213677</v>
      </c>
      <c r="I5" s="10"/>
      <c r="J5" s="10"/>
      <c r="K5" s="10"/>
      <c r="L5" s="10"/>
      <c r="M5" s="10"/>
      <c r="N5" s="10"/>
      <c r="O5" s="10">
        <f t="shared" si="0"/>
        <v>156891409</v>
      </c>
      <c r="P5" t="s">
        <v>97</v>
      </c>
      <c r="Q5" t="s">
        <v>98</v>
      </c>
      <c r="R5" s="14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14">
        <f t="shared" si="1"/>
        <v>2184254031</v>
      </c>
      <c r="W5" s="1">
        <f>408966674+156891409+198574475+223543821+1135936327</f>
        <v>2123912706</v>
      </c>
    </row>
    <row r="6" spans="1:23" ht="42.75">
      <c r="A6" s="44" t="s">
        <v>8</v>
      </c>
      <c r="B6" s="39" t="s">
        <v>13</v>
      </c>
      <c r="C6" s="40">
        <v>900</v>
      </c>
      <c r="D6" s="41">
        <v>3</v>
      </c>
      <c r="E6" s="42" t="s">
        <v>35</v>
      </c>
      <c r="F6" s="25">
        <v>300000000</v>
      </c>
      <c r="G6" s="55">
        <v>0</v>
      </c>
      <c r="H6" s="52">
        <v>-600906843</v>
      </c>
      <c r="I6" s="10">
        <v>-518682</v>
      </c>
      <c r="J6" s="50">
        <v>500000000</v>
      </c>
      <c r="K6" s="10"/>
      <c r="L6" s="10"/>
      <c r="M6" s="10"/>
      <c r="N6" s="10"/>
      <c r="O6" s="10">
        <f t="shared" si="0"/>
        <v>198574475</v>
      </c>
      <c r="P6" t="s">
        <v>99</v>
      </c>
      <c r="Q6" t="s">
        <v>100</v>
      </c>
      <c r="R6" s="14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14">
        <f t="shared" si="1"/>
        <v>1877233369</v>
      </c>
      <c r="W6" s="1">
        <v>1877233207</v>
      </c>
    </row>
    <row r="7" spans="1:23" ht="32.25">
      <c r="A7" s="44" t="s">
        <v>8</v>
      </c>
      <c r="B7" s="39" t="s">
        <v>14</v>
      </c>
      <c r="C7" s="40">
        <v>900</v>
      </c>
      <c r="D7" s="41">
        <v>1</v>
      </c>
      <c r="E7" s="42" t="s">
        <v>24</v>
      </c>
      <c r="F7" s="25">
        <v>3677074400</v>
      </c>
      <c r="G7" s="24">
        <v>0</v>
      </c>
      <c r="H7" s="52">
        <v>-4595103399</v>
      </c>
      <c r="I7" s="10"/>
      <c r="J7" s="50">
        <v>918028999</v>
      </c>
      <c r="K7" s="10"/>
      <c r="L7" s="10"/>
      <c r="M7" s="10"/>
      <c r="N7" s="10"/>
      <c r="O7" s="10">
        <f t="shared" si="0"/>
        <v>0</v>
      </c>
      <c r="P7" t="s">
        <v>101</v>
      </c>
      <c r="Q7" t="s">
        <v>102</v>
      </c>
      <c r="R7" s="14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14">
        <f t="shared" si="1"/>
        <v>2562562737</v>
      </c>
      <c r="W7" s="1">
        <f>319998529+2173142971</f>
        <v>2493141500</v>
      </c>
    </row>
    <row r="8" spans="1:23" ht="32.25">
      <c r="A8" s="44" t="s">
        <v>8</v>
      </c>
      <c r="B8" s="39" t="s">
        <v>14</v>
      </c>
      <c r="C8" s="40">
        <v>900</v>
      </c>
      <c r="D8" s="41">
        <v>2</v>
      </c>
      <c r="E8" s="42" t="s">
        <v>25</v>
      </c>
      <c r="F8" s="25">
        <v>1199818416</v>
      </c>
      <c r="G8" s="25">
        <v>0</v>
      </c>
      <c r="H8" s="52">
        <v>-2566309866</v>
      </c>
      <c r="I8" s="10"/>
      <c r="J8" s="50">
        <v>1393598524</v>
      </c>
      <c r="K8" s="10"/>
      <c r="L8" s="10"/>
      <c r="M8" s="10"/>
      <c r="N8" s="10"/>
      <c r="O8" s="10">
        <f t="shared" si="0"/>
        <v>27107074</v>
      </c>
      <c r="P8" t="s">
        <v>103</v>
      </c>
      <c r="Q8" t="s">
        <v>104</v>
      </c>
      <c r="R8" s="14">
        <f>+F15</f>
        <v>700000000</v>
      </c>
      <c r="S8" s="1">
        <f>+J15</f>
        <v>900000000</v>
      </c>
      <c r="T8" s="1">
        <f>+L32</f>
        <v>1445581568</v>
      </c>
      <c r="U8" s="14">
        <f>+G15</f>
        <v>-1435581568</v>
      </c>
      <c r="V8" s="14">
        <f t="shared" si="1"/>
        <v>1610000000</v>
      </c>
      <c r="W8" s="1">
        <f>164418432+1398378737</f>
        <v>1562797169</v>
      </c>
    </row>
    <row r="9" spans="1:23" ht="42.75">
      <c r="A9" s="44" t="s">
        <v>8</v>
      </c>
      <c r="B9" s="39" t="s">
        <v>14</v>
      </c>
      <c r="C9" s="40">
        <v>900</v>
      </c>
      <c r="D9" s="41">
        <v>3</v>
      </c>
      <c r="E9" s="42" t="s">
        <v>26</v>
      </c>
      <c r="F9" s="25">
        <v>1528730952</v>
      </c>
      <c r="G9" s="25">
        <v>0</v>
      </c>
      <c r="H9" s="52">
        <v>-2648057344</v>
      </c>
      <c r="I9" s="10"/>
      <c r="J9" s="50">
        <v>1553352672</v>
      </c>
      <c r="K9" s="10"/>
      <c r="L9" s="10"/>
      <c r="M9" s="10"/>
      <c r="N9" s="10"/>
      <c r="O9" s="10">
        <f t="shared" si="0"/>
        <v>434026280</v>
      </c>
      <c r="P9" t="s">
        <v>105</v>
      </c>
      <c r="Q9" t="s">
        <v>106</v>
      </c>
      <c r="R9" s="14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14">
        <f t="shared" si="1"/>
        <v>432039134</v>
      </c>
      <c r="W9" s="1">
        <f>63924612+321140379</f>
        <v>385064991</v>
      </c>
    </row>
    <row r="10" spans="1:23" ht="42.75">
      <c r="A10" s="44" t="s">
        <v>8</v>
      </c>
      <c r="B10" s="39" t="s">
        <v>14</v>
      </c>
      <c r="C10" s="40">
        <v>900</v>
      </c>
      <c r="D10" s="41">
        <v>4</v>
      </c>
      <c r="E10" s="42" t="s">
        <v>27</v>
      </c>
      <c r="F10" s="25">
        <v>1073210483</v>
      </c>
      <c r="G10" s="25">
        <v>0</v>
      </c>
      <c r="H10" s="52">
        <v>-1877233369</v>
      </c>
      <c r="I10" s="10"/>
      <c r="J10" s="50">
        <v>804022886</v>
      </c>
      <c r="K10" s="10"/>
      <c r="L10" s="10"/>
      <c r="M10" s="10"/>
      <c r="N10" s="10"/>
      <c r="O10" s="10">
        <f t="shared" si="0"/>
        <v>0</v>
      </c>
      <c r="P10" t="s">
        <v>107</v>
      </c>
      <c r="Q10" t="s">
        <v>59</v>
      </c>
      <c r="R10" s="14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14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44" t="s">
        <v>8</v>
      </c>
      <c r="B11" s="39" t="s">
        <v>15</v>
      </c>
      <c r="C11" s="40">
        <v>900</v>
      </c>
      <c r="D11" s="41">
        <v>1</v>
      </c>
      <c r="E11" s="42" t="s">
        <v>28</v>
      </c>
      <c r="F11" s="25">
        <v>289000000</v>
      </c>
      <c r="G11" s="55">
        <v>-320465303</v>
      </c>
      <c r="H11" s="52">
        <v>-4610085</v>
      </c>
      <c r="I11" s="10"/>
      <c r="J11" s="50">
        <v>100000000</v>
      </c>
      <c r="K11" s="10"/>
      <c r="L11" s="10"/>
      <c r="M11" s="10"/>
      <c r="N11" s="10"/>
      <c r="O11" s="10">
        <f t="shared" si="0"/>
        <v>63924612</v>
      </c>
      <c r="Q11" t="s">
        <v>108</v>
      </c>
      <c r="R11" s="14">
        <f>SUM(R4:R10)</f>
        <v>17250332312</v>
      </c>
      <c r="S11" s="14">
        <f>SUM(S4:S10)</f>
        <v>14633268424</v>
      </c>
      <c r="T11" s="14">
        <f>SUM(T4:T10)</f>
        <v>25367251582</v>
      </c>
      <c r="U11" s="14">
        <f>SUM(U4:U10)</f>
        <v>-25367251582</v>
      </c>
      <c r="V11" s="14">
        <f t="shared" si="1"/>
        <v>31883600736</v>
      </c>
      <c r="W11" s="14">
        <f>SUM(W4:W10)</f>
        <v>31023133223</v>
      </c>
    </row>
    <row r="12" spans="1:23" ht="21.75">
      <c r="A12" s="44" t="s">
        <v>8</v>
      </c>
      <c r="B12" s="39" t="s">
        <v>15</v>
      </c>
      <c r="C12" s="40">
        <v>900</v>
      </c>
      <c r="D12" s="41">
        <v>2</v>
      </c>
      <c r="E12" s="42" t="s">
        <v>29</v>
      </c>
      <c r="F12" s="25">
        <v>1000000000</v>
      </c>
      <c r="G12" s="25">
        <v>-1948357768</v>
      </c>
      <c r="H12" s="34">
        <v>-2855109</v>
      </c>
      <c r="I12" s="10"/>
      <c r="J12" s="50">
        <v>1000000000</v>
      </c>
      <c r="K12" s="10"/>
      <c r="L12" s="10"/>
      <c r="M12" s="10"/>
      <c r="N12" s="10"/>
      <c r="O12" s="10">
        <f t="shared" si="0"/>
        <v>48787123</v>
      </c>
      <c r="T12" s="1"/>
      <c r="U12" s="14"/>
      <c r="V12" s="14"/>
      <c r="W12" s="4" t="s">
        <v>0</v>
      </c>
    </row>
    <row r="13" spans="1:23" ht="32.25">
      <c r="A13" s="44" t="s">
        <v>8</v>
      </c>
      <c r="B13" s="39" t="s">
        <v>16</v>
      </c>
      <c r="C13" s="40">
        <v>900</v>
      </c>
      <c r="D13" s="41">
        <v>1</v>
      </c>
      <c r="E13" s="42" t="s">
        <v>30</v>
      </c>
      <c r="F13" s="25">
        <v>2132498061</v>
      </c>
      <c r="G13" s="25">
        <v>-1310392615</v>
      </c>
      <c r="H13" s="34">
        <v>-5190697</v>
      </c>
      <c r="I13" s="10"/>
      <c r="J13" s="50">
        <v>300000000</v>
      </c>
      <c r="K13" s="10"/>
      <c r="L13" s="10"/>
      <c r="M13" s="10"/>
      <c r="N13" s="10"/>
      <c r="O13" s="10">
        <f t="shared" si="0"/>
        <v>1116914749</v>
      </c>
      <c r="T13" s="14"/>
      <c r="V13" s="14"/>
      <c r="W13" s="1" t="e">
        <f>+W12-W11</f>
        <v>#VALUE!</v>
      </c>
    </row>
    <row r="14" spans="1:23" ht="53.25">
      <c r="A14" s="44" t="s">
        <v>8</v>
      </c>
      <c r="B14" s="39" t="s">
        <v>16</v>
      </c>
      <c r="C14" s="40">
        <v>900</v>
      </c>
      <c r="D14" s="41">
        <v>2</v>
      </c>
      <c r="E14" s="42" t="s">
        <v>31</v>
      </c>
      <c r="F14" s="25">
        <v>520000000</v>
      </c>
      <c r="G14" s="55">
        <v>-2114195091</v>
      </c>
      <c r="H14" s="52">
        <v>-469117</v>
      </c>
      <c r="I14" s="10"/>
      <c r="J14" s="50">
        <v>1914662737</v>
      </c>
      <c r="K14" s="10"/>
      <c r="L14" s="10"/>
      <c r="M14" s="10"/>
      <c r="N14" s="10"/>
      <c r="O14" s="10">
        <f t="shared" si="0"/>
        <v>319998529</v>
      </c>
      <c r="V14" s="14"/>
      <c r="W14" s="1"/>
    </row>
    <row r="15" spans="1:23" ht="42.75">
      <c r="A15" s="44" t="s">
        <v>8</v>
      </c>
      <c r="B15" s="39" t="s">
        <v>17</v>
      </c>
      <c r="C15" s="40">
        <v>900</v>
      </c>
      <c r="D15" s="41">
        <v>1</v>
      </c>
      <c r="E15" s="42" t="s">
        <v>32</v>
      </c>
      <c r="F15" s="25">
        <v>700000000</v>
      </c>
      <c r="G15" s="55">
        <v>-1435581568</v>
      </c>
      <c r="H15" s="34">
        <v>0</v>
      </c>
      <c r="I15" s="10"/>
      <c r="J15" s="50">
        <v>900000000</v>
      </c>
      <c r="K15" s="10"/>
      <c r="L15" s="10"/>
      <c r="M15" s="10"/>
      <c r="N15" s="10"/>
      <c r="O15" s="10">
        <f t="shared" si="0"/>
        <v>164418432</v>
      </c>
      <c r="V15" s="14"/>
      <c r="W15" s="1"/>
    </row>
    <row r="16" spans="1:23" ht="53.25">
      <c r="A16" s="44" t="s">
        <v>8</v>
      </c>
      <c r="B16" s="39" t="s">
        <v>18</v>
      </c>
      <c r="C16" s="40">
        <v>900</v>
      </c>
      <c r="D16" s="41">
        <v>1</v>
      </c>
      <c r="E16" s="43" t="s">
        <v>33</v>
      </c>
      <c r="F16" s="25">
        <f>+'[1]Gastos 2016'!$B$16</f>
        <v>250000000</v>
      </c>
      <c r="G16" s="25">
        <v>-573306</v>
      </c>
      <c r="H16" s="34">
        <v>-141124746</v>
      </c>
      <c r="I16" s="10"/>
      <c r="J16" s="10"/>
      <c r="K16" s="10"/>
      <c r="L16" s="10"/>
      <c r="M16" s="10"/>
      <c r="N16" s="10"/>
      <c r="O16" s="10">
        <f t="shared" si="0"/>
        <v>108301948</v>
      </c>
      <c r="V16" s="14"/>
      <c r="W16" s="1"/>
    </row>
    <row r="17" spans="1:23" ht="32.25">
      <c r="A17" s="44" t="s">
        <v>8</v>
      </c>
      <c r="B17" s="39" t="s">
        <v>18</v>
      </c>
      <c r="C17" s="40">
        <v>900</v>
      </c>
      <c r="D17" s="41">
        <v>2</v>
      </c>
      <c r="E17" s="43" t="s">
        <v>34</v>
      </c>
      <c r="F17" s="25">
        <v>200000000</v>
      </c>
      <c r="G17" s="25">
        <v>-3856237256</v>
      </c>
      <c r="H17" s="34">
        <v>-1050578</v>
      </c>
      <c r="I17" s="10"/>
      <c r="J17" s="50">
        <v>3728574777</v>
      </c>
      <c r="K17" s="10">
        <v>771935666</v>
      </c>
      <c r="L17" s="10"/>
      <c r="M17" s="10"/>
      <c r="N17" s="10"/>
      <c r="O17" s="10">
        <f t="shared" si="0"/>
        <v>843222609</v>
      </c>
      <c r="V17" s="14"/>
      <c r="W17" s="1"/>
    </row>
    <row r="18" spans="1:23" ht="21.75">
      <c r="A18" s="44"/>
      <c r="B18" s="39"/>
      <c r="C18" s="40"/>
      <c r="D18" s="41"/>
      <c r="E18" s="43" t="s">
        <v>58</v>
      </c>
      <c r="F18" s="25">
        <f aca="true" t="shared" si="2" ref="F18:O18">SUM(F4:F17)</f>
        <v>14570332312</v>
      </c>
      <c r="G18" s="25">
        <f t="shared" si="2"/>
        <v>-11012270523</v>
      </c>
      <c r="H18" s="25">
        <f t="shared" si="2"/>
        <v>-13532513454</v>
      </c>
      <c r="I18" s="25">
        <f t="shared" si="2"/>
        <v>-518682</v>
      </c>
      <c r="J18" s="25">
        <f t="shared" si="2"/>
        <v>13112240595</v>
      </c>
      <c r="K18" s="25">
        <f t="shared" si="2"/>
        <v>771935666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25">
        <f t="shared" si="2"/>
        <v>3909205914</v>
      </c>
      <c r="V18" s="14"/>
      <c r="W18" s="1"/>
    </row>
    <row r="19" spans="1:23" ht="12.75">
      <c r="A19" s="44"/>
      <c r="B19" s="39"/>
      <c r="C19" s="40"/>
      <c r="D19" s="41"/>
      <c r="E19" s="43"/>
      <c r="F19" s="25"/>
      <c r="G19" s="25"/>
      <c r="H19" s="13"/>
      <c r="I19" s="10"/>
      <c r="J19" s="10"/>
      <c r="K19" s="10"/>
      <c r="L19" s="10"/>
      <c r="M19" s="10"/>
      <c r="N19" s="10"/>
      <c r="O19" s="10">
        <f aca="true" t="shared" si="3" ref="O19:O33">SUM(F19:N19)</f>
        <v>0</v>
      </c>
      <c r="V19" s="14"/>
      <c r="W19" s="1"/>
    </row>
    <row r="20" spans="1:22" ht="22.5">
      <c r="A20" s="44"/>
      <c r="B20" s="39"/>
      <c r="C20" s="40"/>
      <c r="D20" s="41"/>
      <c r="E20" s="47" t="s">
        <v>54</v>
      </c>
      <c r="F20" s="48" t="s">
        <v>0</v>
      </c>
      <c r="G20" s="48" t="s">
        <v>0</v>
      </c>
      <c r="H20" s="48" t="s">
        <v>0</v>
      </c>
      <c r="I20" s="11" t="s">
        <v>0</v>
      </c>
      <c r="J20" s="10"/>
      <c r="K20" s="10"/>
      <c r="L20" s="10"/>
      <c r="M20" s="10"/>
      <c r="N20" s="10"/>
      <c r="O20" s="10">
        <f t="shared" si="3"/>
        <v>0</v>
      </c>
      <c r="V20" s="14"/>
    </row>
    <row r="21" spans="1:15" ht="33.75">
      <c r="A21" s="44" t="s">
        <v>8</v>
      </c>
      <c r="B21" s="39" t="s">
        <v>13</v>
      </c>
      <c r="C21" s="40">
        <v>1</v>
      </c>
      <c r="D21" s="41"/>
      <c r="E21" s="49" t="s">
        <v>44</v>
      </c>
      <c r="F21" s="25">
        <v>0</v>
      </c>
      <c r="G21" s="25">
        <v>0</v>
      </c>
      <c r="H21" s="13">
        <v>0</v>
      </c>
      <c r="I21" s="10">
        <v>-452579556</v>
      </c>
      <c r="J21" s="10"/>
      <c r="K21" s="10"/>
      <c r="L21" s="50">
        <v>4670486343</v>
      </c>
      <c r="M21" s="50">
        <v>350000000</v>
      </c>
      <c r="N21" s="10"/>
      <c r="O21" s="10">
        <f t="shared" si="3"/>
        <v>4567906787</v>
      </c>
    </row>
    <row r="22" spans="1:15" ht="22.5">
      <c r="A22" s="44" t="s">
        <v>8</v>
      </c>
      <c r="B22" s="39" t="s">
        <v>13</v>
      </c>
      <c r="C22" s="40">
        <v>2</v>
      </c>
      <c r="D22" s="41"/>
      <c r="E22" s="49" t="s">
        <v>45</v>
      </c>
      <c r="F22" s="25">
        <v>0</v>
      </c>
      <c r="G22" s="25">
        <v>0</v>
      </c>
      <c r="H22" s="13">
        <v>0</v>
      </c>
      <c r="I22" s="10"/>
      <c r="J22" s="10"/>
      <c r="K22" s="10"/>
      <c r="L22" s="50">
        <v>5138984266</v>
      </c>
      <c r="M22" s="50">
        <v>39000000</v>
      </c>
      <c r="N22" s="10"/>
      <c r="O22" s="10">
        <f t="shared" si="3"/>
        <v>5177984266</v>
      </c>
    </row>
    <row r="23" spans="1:15" ht="22.5">
      <c r="A23" s="44" t="s">
        <v>8</v>
      </c>
      <c r="B23" s="39" t="s">
        <v>13</v>
      </c>
      <c r="C23" s="40">
        <v>3</v>
      </c>
      <c r="D23" s="41"/>
      <c r="E23" s="49" t="s">
        <v>46</v>
      </c>
      <c r="F23" s="25">
        <v>0</v>
      </c>
      <c r="G23" s="25">
        <v>0</v>
      </c>
      <c r="H23" s="13">
        <v>0</v>
      </c>
      <c r="I23" s="10"/>
      <c r="J23" s="10"/>
      <c r="K23" s="10"/>
      <c r="L23" s="50">
        <v>1877233369</v>
      </c>
      <c r="M23" s="10"/>
      <c r="N23" s="10"/>
      <c r="O23" s="10">
        <f t="shared" si="3"/>
        <v>1877233369</v>
      </c>
    </row>
    <row r="24" spans="1:15" ht="45">
      <c r="A24" s="44" t="s">
        <v>8</v>
      </c>
      <c r="B24" s="39" t="s">
        <v>14</v>
      </c>
      <c r="C24" s="40">
        <v>1</v>
      </c>
      <c r="D24" s="41"/>
      <c r="E24" s="49" t="s">
        <v>47</v>
      </c>
      <c r="F24" s="25">
        <v>0</v>
      </c>
      <c r="G24" s="25">
        <v>0</v>
      </c>
      <c r="H24" s="13">
        <v>0</v>
      </c>
      <c r="I24" s="10">
        <v>0</v>
      </c>
      <c r="J24" s="10"/>
      <c r="K24" s="10"/>
      <c r="L24" s="50">
        <v>97010786</v>
      </c>
      <c r="M24" s="50">
        <v>128863196</v>
      </c>
      <c r="N24" s="50">
        <v>2572702</v>
      </c>
      <c r="O24" s="10">
        <f t="shared" si="3"/>
        <v>228446684</v>
      </c>
    </row>
    <row r="25" spans="1:15" ht="56.25">
      <c r="A25" s="44" t="s">
        <v>8</v>
      </c>
      <c r="B25" s="39" t="s">
        <v>14</v>
      </c>
      <c r="C25" s="40">
        <v>2</v>
      </c>
      <c r="D25" s="41"/>
      <c r="E25" s="49" t="s">
        <v>48</v>
      </c>
      <c r="F25" s="25">
        <v>0</v>
      </c>
      <c r="G25" s="25">
        <v>0</v>
      </c>
      <c r="H25" s="13">
        <v>0</v>
      </c>
      <c r="I25" s="10">
        <v>0</v>
      </c>
      <c r="J25" s="10"/>
      <c r="K25" s="10"/>
      <c r="L25" s="50">
        <v>960739105</v>
      </c>
      <c r="M25" s="50">
        <v>188668770</v>
      </c>
      <c r="N25" s="50">
        <v>23894914</v>
      </c>
      <c r="O25" s="10">
        <f t="shared" si="3"/>
        <v>1173302789</v>
      </c>
    </row>
    <row r="26" spans="1:15" ht="22.5">
      <c r="A26" s="44" t="s">
        <v>8</v>
      </c>
      <c r="B26" s="39" t="s">
        <v>15</v>
      </c>
      <c r="C26" s="40">
        <v>1</v>
      </c>
      <c r="D26" s="41"/>
      <c r="E26" s="49" t="s">
        <v>49</v>
      </c>
      <c r="F26" s="25">
        <v>0</v>
      </c>
      <c r="G26" s="36">
        <v>0</v>
      </c>
      <c r="H26" s="13">
        <v>0</v>
      </c>
      <c r="I26" s="10"/>
      <c r="J26" s="50">
        <v>749092163</v>
      </c>
      <c r="K26" s="10"/>
      <c r="L26" s="50">
        <v>4539266111</v>
      </c>
      <c r="M26" s="50">
        <v>2142566</v>
      </c>
      <c r="N26" s="50">
        <v>19369367</v>
      </c>
      <c r="O26" s="10">
        <f t="shared" si="3"/>
        <v>5309870207</v>
      </c>
    </row>
    <row r="27" spans="1:15" ht="33.75">
      <c r="A27" s="44" t="s">
        <v>8</v>
      </c>
      <c r="B27" s="39" t="s">
        <v>15</v>
      </c>
      <c r="C27" s="40">
        <v>2</v>
      </c>
      <c r="D27" s="41"/>
      <c r="E27" s="49" t="s">
        <v>50</v>
      </c>
      <c r="F27" s="25">
        <v>0</v>
      </c>
      <c r="G27" s="25">
        <v>-19369367</v>
      </c>
      <c r="H27" s="13">
        <v>0</v>
      </c>
      <c r="I27" s="10"/>
      <c r="J27" s="10"/>
      <c r="K27" s="10"/>
      <c r="L27" s="50">
        <v>166163600</v>
      </c>
      <c r="M27" s="50"/>
      <c r="N27" s="50"/>
      <c r="O27" s="10">
        <f t="shared" si="3"/>
        <v>146794233</v>
      </c>
    </row>
    <row r="28" spans="1:15" ht="22.5">
      <c r="A28" s="44" t="s">
        <v>8</v>
      </c>
      <c r="B28" s="39" t="s">
        <v>16</v>
      </c>
      <c r="C28" s="40">
        <v>1</v>
      </c>
      <c r="D28" s="41"/>
      <c r="E28" s="49" t="s">
        <v>51</v>
      </c>
      <c r="F28" s="25">
        <v>0</v>
      </c>
      <c r="G28" s="25">
        <v>0</v>
      </c>
      <c r="H28" s="13">
        <f>+F28+G28</f>
        <v>0</v>
      </c>
      <c r="I28" s="10"/>
      <c r="J28" s="10"/>
      <c r="K28" s="10"/>
      <c r="L28" s="50">
        <v>5190697</v>
      </c>
      <c r="M28" s="50">
        <v>963947415</v>
      </c>
      <c r="N28" s="50"/>
      <c r="O28" s="10">
        <f t="shared" si="3"/>
        <v>969138112</v>
      </c>
    </row>
    <row r="29" spans="1:15" ht="22.5">
      <c r="A29" s="44" t="s">
        <v>8</v>
      </c>
      <c r="B29" s="39" t="s">
        <v>17</v>
      </c>
      <c r="C29" s="40">
        <v>1</v>
      </c>
      <c r="D29" s="41"/>
      <c r="E29" s="49" t="s">
        <v>52</v>
      </c>
      <c r="F29" s="25">
        <v>0</v>
      </c>
      <c r="G29" s="25">
        <v>0</v>
      </c>
      <c r="H29" s="13">
        <v>0</v>
      </c>
      <c r="I29" s="10"/>
      <c r="J29" s="10"/>
      <c r="K29" s="10"/>
      <c r="L29" s="50">
        <v>4610085</v>
      </c>
      <c r="M29" s="50">
        <v>363504437</v>
      </c>
      <c r="N29" s="10"/>
      <c r="O29" s="10">
        <f t="shared" si="3"/>
        <v>368114522</v>
      </c>
    </row>
    <row r="30" spans="1:15" ht="22.5">
      <c r="A30" s="44" t="s">
        <v>8</v>
      </c>
      <c r="B30" s="39" t="s">
        <v>17</v>
      </c>
      <c r="C30" s="40">
        <v>2</v>
      </c>
      <c r="D30" s="41"/>
      <c r="E30" s="49" t="s">
        <v>56</v>
      </c>
      <c r="F30" s="25">
        <v>0</v>
      </c>
      <c r="G30" s="25">
        <v>-350000000</v>
      </c>
      <c r="H30" s="13">
        <v>0</v>
      </c>
      <c r="I30" s="10"/>
      <c r="J30" s="10"/>
      <c r="K30" s="10"/>
      <c r="L30" s="50">
        <v>2134602968</v>
      </c>
      <c r="M30" s="50">
        <v>2855109</v>
      </c>
      <c r="N30" s="10"/>
      <c r="O30" s="10">
        <f t="shared" si="3"/>
        <v>1787458077</v>
      </c>
    </row>
    <row r="31" spans="1:15" ht="22.5">
      <c r="A31" s="44" t="s">
        <v>8</v>
      </c>
      <c r="B31" s="39" t="s">
        <v>18</v>
      </c>
      <c r="C31" s="40">
        <v>1</v>
      </c>
      <c r="D31" s="41"/>
      <c r="E31" s="49" t="s">
        <v>53</v>
      </c>
      <c r="F31" s="25">
        <v>0</v>
      </c>
      <c r="G31" s="25">
        <v>0</v>
      </c>
      <c r="H31" s="13">
        <v>0</v>
      </c>
      <c r="I31" s="10"/>
      <c r="J31" s="10"/>
      <c r="K31" s="10"/>
      <c r="L31" s="51">
        <v>469117</v>
      </c>
      <c r="M31" s="50">
        <v>127900000</v>
      </c>
      <c r="N31" s="50">
        <v>2114195091</v>
      </c>
      <c r="O31" s="10">
        <f t="shared" si="3"/>
        <v>2242564208</v>
      </c>
    </row>
    <row r="32" spans="1:15" ht="22.5">
      <c r="A32" s="44" t="s">
        <v>8</v>
      </c>
      <c r="B32" s="39" t="s">
        <v>18</v>
      </c>
      <c r="C32" s="40">
        <v>2</v>
      </c>
      <c r="D32" s="41"/>
      <c r="E32" s="49" t="s">
        <v>55</v>
      </c>
      <c r="F32" s="25">
        <v>0</v>
      </c>
      <c r="G32" s="25">
        <v>0</v>
      </c>
      <c r="H32" s="13">
        <v>0</v>
      </c>
      <c r="I32" s="10"/>
      <c r="J32" s="10"/>
      <c r="K32" s="10"/>
      <c r="L32" s="50">
        <v>1445581568</v>
      </c>
      <c r="M32" s="10"/>
      <c r="N32" s="10"/>
      <c r="O32" s="10">
        <f t="shared" si="3"/>
        <v>1445581568</v>
      </c>
    </row>
    <row r="33" spans="1:15" ht="12.75">
      <c r="A33" s="44"/>
      <c r="B33" s="39"/>
      <c r="C33" s="40"/>
      <c r="D33" s="41"/>
      <c r="E33" s="43"/>
      <c r="F33" s="25"/>
      <c r="G33" s="25"/>
      <c r="H33" s="13"/>
      <c r="I33" s="10"/>
      <c r="J33" s="10"/>
      <c r="K33" s="10"/>
      <c r="L33" s="10"/>
      <c r="M33" s="10"/>
      <c r="N33" s="10"/>
      <c r="O33" s="10">
        <f t="shared" si="3"/>
        <v>0</v>
      </c>
    </row>
    <row r="34" spans="1:15" ht="21.75">
      <c r="A34" s="44"/>
      <c r="B34" s="39"/>
      <c r="C34" s="40"/>
      <c r="D34" s="41"/>
      <c r="E34" s="43" t="s">
        <v>57</v>
      </c>
      <c r="F34" s="25">
        <f>SUM(F21:F33)</f>
        <v>0</v>
      </c>
      <c r="G34" s="25">
        <f aca="true" t="shared" si="4" ref="G34:O34">SUM(G21:G33)</f>
        <v>-369369367</v>
      </c>
      <c r="H34" s="25">
        <f t="shared" si="4"/>
        <v>0</v>
      </c>
      <c r="I34" s="25">
        <f t="shared" si="4"/>
        <v>-452579556</v>
      </c>
      <c r="J34" s="25">
        <f t="shared" si="4"/>
        <v>749092163</v>
      </c>
      <c r="K34" s="25">
        <f t="shared" si="4"/>
        <v>0</v>
      </c>
      <c r="L34" s="25">
        <f t="shared" si="4"/>
        <v>21040338015</v>
      </c>
      <c r="M34" s="25">
        <f t="shared" si="4"/>
        <v>2166881493</v>
      </c>
      <c r="N34" s="25">
        <f t="shared" si="4"/>
        <v>2160032074</v>
      </c>
      <c r="O34" s="25">
        <f t="shared" si="4"/>
        <v>25294394822</v>
      </c>
    </row>
    <row r="35" spans="1:15" ht="12.75">
      <c r="A35" s="44" t="s">
        <v>0</v>
      </c>
      <c r="B35" s="39"/>
      <c r="C35" s="40"/>
      <c r="D35" s="41"/>
      <c r="E35" s="27"/>
      <c r="F35" s="25"/>
      <c r="G35" s="25" t="s">
        <v>0</v>
      </c>
      <c r="H35" s="13" t="s">
        <v>0</v>
      </c>
      <c r="I35" s="10"/>
      <c r="J35" s="10"/>
      <c r="K35" s="10"/>
      <c r="L35" s="10"/>
      <c r="M35" s="10"/>
      <c r="N35" s="10"/>
      <c r="O35" s="10">
        <f>SUM(F35:N35)</f>
        <v>0</v>
      </c>
    </row>
    <row r="36" spans="1:15" ht="13.5" thickBot="1">
      <c r="A36" s="45"/>
      <c r="B36" s="39"/>
      <c r="C36" s="40"/>
      <c r="D36" s="41"/>
      <c r="E36" s="27" t="s">
        <v>36</v>
      </c>
      <c r="F36" s="25">
        <f>+F18+F34</f>
        <v>14570332312</v>
      </c>
      <c r="G36" s="25">
        <f aca="true" t="shared" si="5" ref="G36:O36">+G18+G34</f>
        <v>-11381639890</v>
      </c>
      <c r="H36" s="25">
        <f t="shared" si="5"/>
        <v>-13532513454</v>
      </c>
      <c r="I36" s="25">
        <f t="shared" si="5"/>
        <v>-453098238</v>
      </c>
      <c r="J36" s="25">
        <f t="shared" si="5"/>
        <v>13861332758</v>
      </c>
      <c r="K36" s="25">
        <f t="shared" si="5"/>
        <v>771935666</v>
      </c>
      <c r="L36" s="25">
        <f t="shared" si="5"/>
        <v>21040338015</v>
      </c>
      <c r="M36" s="25">
        <f t="shared" si="5"/>
        <v>2166881493</v>
      </c>
      <c r="N36" s="25">
        <f t="shared" si="5"/>
        <v>2160032074</v>
      </c>
      <c r="O36" s="25">
        <f t="shared" si="5"/>
        <v>29203600736</v>
      </c>
    </row>
    <row r="37" spans="1:15" ht="12.75">
      <c r="A37" s="26"/>
      <c r="B37" s="7"/>
      <c r="C37" s="7"/>
      <c r="D37" s="7"/>
      <c r="E37" s="7"/>
      <c r="F37" s="6">
        <f>+F36</f>
        <v>14570332312</v>
      </c>
      <c r="G37" s="6">
        <f>+G36+H36+I36</f>
        <v>-25367251582</v>
      </c>
      <c r="H37" s="7"/>
      <c r="I37" s="10"/>
      <c r="J37" s="10">
        <f>+J36+K36</f>
        <v>14633268424</v>
      </c>
      <c r="K37" s="10"/>
      <c r="L37" s="10">
        <f>+L36+M36+N36</f>
        <v>25367251582</v>
      </c>
      <c r="M37" s="10"/>
      <c r="N37" s="10"/>
      <c r="O37" s="10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Usuario de Windows</cp:lastModifiedBy>
  <cp:lastPrinted>2020-01-31T12:55:49Z</cp:lastPrinted>
  <dcterms:created xsi:type="dcterms:W3CDTF">2007-01-13T18:42:48Z</dcterms:created>
  <dcterms:modified xsi:type="dcterms:W3CDTF">2022-03-14T22:43:47Z</dcterms:modified>
  <cp:category/>
  <cp:version/>
  <cp:contentType/>
  <cp:contentStatus/>
</cp:coreProperties>
</file>